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tabRatio="689" firstSheet="5" activeTab="5"/>
  </bookViews>
  <sheets>
    <sheet name="Благоустр. накопит" sheetId="24" state="hidden" r:id="rId1"/>
    <sheet name=" ОДХ накопит" sheetId="6" state="hidden" r:id="rId2"/>
    <sheet name="МКД накоп" sheetId="7" state="hidden" r:id="rId3"/>
    <sheet name="БДД по программе" sheetId="9" state="hidden" r:id="rId4"/>
    <sheet name="Меропр.накопит" sheetId="14" state="hidden" r:id="rId5"/>
    <sheet name="форма 7 благоустройство" sheetId="40" r:id="rId6"/>
  </sheets>
  <calcPr calcId="145621"/>
</workbook>
</file>

<file path=xl/calcChain.xml><?xml version="1.0" encoding="utf-8"?>
<calcChain xmlns="http://schemas.openxmlformats.org/spreadsheetml/2006/main">
  <c r="E32" i="40" l="1"/>
  <c r="D32" i="40"/>
  <c r="D16" i="40"/>
  <c r="H41" i="40" l="1"/>
  <c r="G41" i="40"/>
  <c r="F41" i="40"/>
  <c r="H39" i="40"/>
  <c r="G39" i="40"/>
  <c r="F39" i="40"/>
  <c r="H37" i="40"/>
  <c r="G37" i="40"/>
  <c r="F37" i="40"/>
  <c r="F36" i="40"/>
  <c r="H35" i="40"/>
  <c r="G35" i="40"/>
  <c r="F35" i="40"/>
  <c r="H34" i="40"/>
  <c r="G34" i="40"/>
  <c r="F34" i="40"/>
  <c r="H25" i="40"/>
  <c r="G25" i="40"/>
  <c r="F25" i="40"/>
  <c r="H22" i="40"/>
  <c r="G22" i="40"/>
  <c r="F22" i="40"/>
  <c r="H19" i="40"/>
  <c r="G19" i="40"/>
  <c r="F19" i="40"/>
  <c r="H17" i="40"/>
  <c r="G17" i="40"/>
  <c r="F17" i="40"/>
  <c r="H15" i="40"/>
  <c r="G15" i="40"/>
  <c r="F15" i="40"/>
  <c r="H14" i="40"/>
  <c r="G14" i="40"/>
  <c r="F14" i="40"/>
  <c r="F12" i="40"/>
  <c r="H32" i="40" l="1"/>
  <c r="E31" i="40"/>
  <c r="H31" i="40" s="1"/>
  <c r="E18" i="40"/>
  <c r="H18" i="40" s="1"/>
  <c r="C31" i="40"/>
  <c r="C10" i="40"/>
  <c r="F10" i="40" s="1"/>
  <c r="C11" i="40"/>
  <c r="F11" i="40" s="1"/>
  <c r="F31" i="40" l="1"/>
  <c r="D31" i="40" l="1"/>
  <c r="G31" i="40" s="1"/>
  <c r="G32" i="40" l="1"/>
  <c r="C32" i="40"/>
  <c r="F32" i="40" s="1"/>
  <c r="E21" i="40"/>
  <c r="H21" i="40" s="1"/>
  <c r="D40" i="40"/>
  <c r="G40" i="40" s="1"/>
  <c r="E40" i="40"/>
  <c r="H40" i="40" s="1"/>
  <c r="C40" i="40"/>
  <c r="F40" i="40" s="1"/>
  <c r="D38" i="40"/>
  <c r="G38" i="40" s="1"/>
  <c r="E38" i="40"/>
  <c r="H38" i="40" s="1"/>
  <c r="C38" i="40"/>
  <c r="F38" i="40" s="1"/>
  <c r="D23" i="40"/>
  <c r="G23" i="40" s="1"/>
  <c r="D24" i="40"/>
  <c r="G24" i="40" s="1"/>
  <c r="C24" i="40"/>
  <c r="C21" i="40"/>
  <c r="E20" i="40"/>
  <c r="H20" i="40" s="1"/>
  <c r="E11" i="40"/>
  <c r="H11" i="40" s="1"/>
  <c r="D11" i="40"/>
  <c r="D18" i="40"/>
  <c r="G18" i="40" s="1"/>
  <c r="C18" i="40"/>
  <c r="F18" i="40" s="1"/>
  <c r="G16" i="40"/>
  <c r="E16" i="40"/>
  <c r="H16" i="40" s="1"/>
  <c r="C16" i="40"/>
  <c r="F16" i="40" s="1"/>
  <c r="D13" i="40"/>
  <c r="G13" i="40" s="1"/>
  <c r="E13" i="40"/>
  <c r="H13" i="40" s="1"/>
  <c r="C13" i="40"/>
  <c r="F13" i="40" s="1"/>
  <c r="G11" i="40" l="1"/>
  <c r="C23" i="40"/>
  <c r="F24" i="40"/>
  <c r="C20" i="40"/>
  <c r="F20" i="40" s="1"/>
  <c r="F21" i="40"/>
  <c r="F23" i="40" l="1"/>
  <c r="E27" i="40" l="1"/>
  <c r="H27" i="40" s="1"/>
  <c r="C27" i="40"/>
  <c r="F27" i="40" l="1"/>
  <c r="C43" i="40"/>
  <c r="F43" i="40" s="1"/>
  <c r="C26" i="40"/>
  <c r="F26" i="40" s="1"/>
  <c r="E26" i="40"/>
  <c r="H26" i="40" s="1"/>
  <c r="C33" i="40" l="1"/>
  <c r="F33" i="40" s="1"/>
  <c r="D27" i="40"/>
  <c r="G27" i="40" s="1"/>
  <c r="D12" i="40"/>
  <c r="G12" i="40" s="1"/>
  <c r="E12" i="40"/>
  <c r="H12" i="40" s="1"/>
  <c r="D26" i="40" l="1"/>
  <c r="G26" i="40" s="1"/>
  <c r="D10" i="40"/>
  <c r="G10" i="40" s="1"/>
  <c r="E10" i="40"/>
  <c r="C44" i="40"/>
  <c r="F44" i="40" s="1"/>
  <c r="H10" i="40" l="1"/>
  <c r="E48" i="40"/>
  <c r="C42" i="40"/>
  <c r="F42" i="40" l="1"/>
  <c r="D33" i="40" l="1"/>
  <c r="G33" i="40" s="1"/>
  <c r="D30" i="40" l="1"/>
  <c r="G30" i="40" s="1"/>
  <c r="D44" i="40" l="1"/>
  <c r="G44" i="40" s="1"/>
  <c r="E33" i="40"/>
  <c r="H33" i="40" s="1"/>
  <c r="C30" i="40" l="1"/>
  <c r="F30" i="40" s="1"/>
  <c r="E44" i="40" l="1"/>
  <c r="H44" i="40" s="1"/>
  <c r="R117" i="7" l="1"/>
  <c r="R116" i="7"/>
  <c r="R105" i="7"/>
  <c r="R109" i="7"/>
  <c r="R108" i="7"/>
  <c r="R107" i="7"/>
  <c r="R106" i="7"/>
  <c r="Q86" i="7"/>
  <c r="Q118" i="7" s="1"/>
  <c r="T85" i="7"/>
  <c r="R54" i="7"/>
  <c r="T83" i="7"/>
  <c r="T82" i="7"/>
  <c r="R115" i="7" l="1"/>
  <c r="K140" i="24" l="1"/>
  <c r="K138" i="24"/>
  <c r="L140" i="24"/>
  <c r="H189" i="24"/>
  <c r="H188" i="24"/>
  <c r="I187" i="24"/>
  <c r="H187" i="24"/>
  <c r="I186" i="24"/>
  <c r="H186" i="24"/>
  <c r="I185" i="24"/>
  <c r="H185" i="24"/>
  <c r="L143" i="24"/>
  <c r="I188" i="24" s="1"/>
  <c r="L144" i="24"/>
  <c r="I189" i="24" s="1"/>
  <c r="H153" i="24"/>
  <c r="D153" i="24"/>
  <c r="H178" i="24"/>
  <c r="D178" i="24"/>
  <c r="E178" i="24" s="1"/>
  <c r="I164" i="24"/>
  <c r="H164" i="24"/>
  <c r="D164" i="24"/>
  <c r="H177" i="24"/>
  <c r="D177" i="24"/>
  <c r="E177" i="24" s="1"/>
  <c r="H152" i="24"/>
  <c r="D152" i="24"/>
  <c r="H176" i="24"/>
  <c r="D176" i="24"/>
  <c r="E176" i="24" s="1"/>
  <c r="H158" i="24"/>
  <c r="E158" i="24"/>
  <c r="D158" i="24"/>
  <c r="H175" i="24"/>
  <c r="D175" i="24"/>
  <c r="E175" i="24" s="1"/>
  <c r="H173" i="24"/>
  <c r="E173" i="24"/>
  <c r="D173" i="24"/>
  <c r="H151" i="24"/>
  <c r="D151" i="24"/>
  <c r="H172" i="24"/>
  <c r="E172" i="24"/>
  <c r="D172" i="24"/>
  <c r="H171" i="24"/>
  <c r="E171" i="24"/>
  <c r="D171" i="24"/>
  <c r="H154" i="24"/>
  <c r="E154" i="24"/>
  <c r="D154" i="24"/>
  <c r="H174" i="24"/>
  <c r="H165" i="24"/>
  <c r="E165" i="24"/>
  <c r="D165" i="24"/>
  <c r="J187" i="24" l="1"/>
  <c r="J185" i="24"/>
  <c r="J186" i="24"/>
  <c r="J189" i="24"/>
  <c r="J188" i="24"/>
  <c r="H190" i="24"/>
  <c r="I190" i="24"/>
  <c r="F173" i="24"/>
  <c r="W37" i="7"/>
  <c r="R52" i="7"/>
  <c r="R57" i="7" s="1"/>
  <c r="T75" i="7"/>
  <c r="T84" i="7" l="1"/>
  <c r="T81" i="7"/>
  <c r="H157" i="24" l="1"/>
  <c r="D157" i="24"/>
  <c r="J132" i="24"/>
  <c r="H150" i="24"/>
  <c r="D150" i="24"/>
  <c r="H163" i="24"/>
  <c r="H155" i="24" l="1"/>
  <c r="F185" i="24" l="1"/>
  <c r="I180" i="24"/>
  <c r="E180" i="24"/>
  <c r="I179" i="24"/>
  <c r="H179" i="24"/>
  <c r="E179" i="24"/>
  <c r="H169" i="24"/>
  <c r="I168" i="24"/>
  <c r="H167" i="24"/>
  <c r="D167" i="24"/>
  <c r="E167" i="24" s="1"/>
  <c r="H166" i="24"/>
  <c r="I166" i="24" s="1"/>
  <c r="E166" i="24"/>
  <c r="E164" i="24"/>
  <c r="H162" i="24"/>
  <c r="H161" i="24"/>
  <c r="H160" i="24"/>
  <c r="E160" i="24"/>
  <c r="D160" i="24"/>
  <c r="H159" i="24"/>
  <c r="D159" i="24"/>
  <c r="E157" i="24"/>
  <c r="H156" i="24"/>
  <c r="D156" i="24"/>
  <c r="E153" i="24"/>
  <c r="E152" i="24"/>
  <c r="E151" i="24"/>
  <c r="E150" i="24"/>
  <c r="K145" i="24"/>
  <c r="K147" i="24" s="1"/>
  <c r="L147" i="24"/>
  <c r="I139" i="24"/>
  <c r="N127" i="24"/>
  <c r="N128" i="24" s="1"/>
  <c r="M127" i="24"/>
  <c r="L127" i="24" s="1"/>
  <c r="L126" i="24"/>
  <c r="L125" i="24"/>
  <c r="L124" i="24"/>
  <c r="L123" i="24"/>
  <c r="L122" i="24"/>
  <c r="L121" i="24"/>
  <c r="K121" i="24"/>
  <c r="M119" i="24"/>
  <c r="K118" i="24"/>
  <c r="L117" i="24"/>
  <c r="I158" i="24" s="1"/>
  <c r="L116" i="24"/>
  <c r="L115" i="24"/>
  <c r="K115" i="24"/>
  <c r="L114" i="24"/>
  <c r="L113" i="24"/>
  <c r="L112" i="24"/>
  <c r="L111" i="24"/>
  <c r="L110" i="24"/>
  <c r="L109" i="24"/>
  <c r="L108" i="24"/>
  <c r="I108" i="24"/>
  <c r="L107" i="24"/>
  <c r="K105" i="24"/>
  <c r="M89" i="24"/>
  <c r="K88" i="24"/>
  <c r="L87" i="24"/>
  <c r="I178" i="24" s="1"/>
  <c r="L86" i="24"/>
  <c r="I177" i="24" s="1"/>
  <c r="L85" i="24"/>
  <c r="I174" i="24" s="1"/>
  <c r="L84" i="24"/>
  <c r="I176" i="24" s="1"/>
  <c r="L83" i="24"/>
  <c r="I175" i="24" s="1"/>
  <c r="L82" i="24"/>
  <c r="I172" i="24" s="1"/>
  <c r="L81" i="24"/>
  <c r="I173" i="24" s="1"/>
  <c r="L80" i="24"/>
  <c r="I171" i="24" s="1"/>
  <c r="K79" i="24"/>
  <c r="L78" i="24"/>
  <c r="L77" i="24"/>
  <c r="L76" i="24"/>
  <c r="L75" i="24"/>
  <c r="L73" i="24"/>
  <c r="L72" i="24"/>
  <c r="L71" i="24"/>
  <c r="K70" i="24"/>
  <c r="L70" i="24" s="1"/>
  <c r="L69" i="24"/>
  <c r="L68" i="24"/>
  <c r="K67" i="24"/>
  <c r="L66" i="24"/>
  <c r="N65" i="24"/>
  <c r="L65" i="24"/>
  <c r="L64" i="24"/>
  <c r="L63" i="24"/>
  <c r="L62" i="24"/>
  <c r="L60" i="24"/>
  <c r="I60" i="24"/>
  <c r="L59" i="24"/>
  <c r="L58" i="24"/>
  <c r="K57" i="24"/>
  <c r="L56" i="24"/>
  <c r="L55" i="24"/>
  <c r="L54" i="24"/>
  <c r="L53" i="24"/>
  <c r="L52" i="24"/>
  <c r="L51" i="24"/>
  <c r="L50" i="24"/>
  <c r="L49" i="24"/>
  <c r="L48" i="24"/>
  <c r="K47" i="24"/>
  <c r="L46" i="24"/>
  <c r="L45" i="24"/>
  <c r="L44" i="24"/>
  <c r="L43" i="24"/>
  <c r="L42" i="24"/>
  <c r="L41" i="24"/>
  <c r="L40" i="24"/>
  <c r="L39" i="24"/>
  <c r="L38" i="24"/>
  <c r="K37" i="24"/>
  <c r="L36" i="24"/>
  <c r="L34" i="24"/>
  <c r="L33" i="24"/>
  <c r="L32" i="24"/>
  <c r="L31" i="24"/>
  <c r="L30" i="24"/>
  <c r="L29" i="24"/>
  <c r="L28" i="24"/>
  <c r="K27" i="24"/>
  <c r="K25" i="24"/>
  <c r="L25" i="24" s="1"/>
  <c r="L24" i="24"/>
  <c r="L23" i="24"/>
  <c r="L22" i="24"/>
  <c r="L21" i="24"/>
  <c r="K20" i="24"/>
  <c r="L19" i="24"/>
  <c r="L18" i="24"/>
  <c r="L17" i="24"/>
  <c r="L16" i="24"/>
  <c r="K15" i="24"/>
  <c r="L14" i="24"/>
  <c r="L13" i="24"/>
  <c r="L12" i="24"/>
  <c r="L11" i="24"/>
  <c r="K119" i="24" l="1"/>
  <c r="L118" i="24"/>
  <c r="I161" i="24"/>
  <c r="I150" i="24"/>
  <c r="I154" i="24"/>
  <c r="I159" i="24"/>
  <c r="I153" i="24"/>
  <c r="I151" i="24"/>
  <c r="I152" i="24"/>
  <c r="F160" i="24"/>
  <c r="I163" i="24"/>
  <c r="E156" i="24"/>
  <c r="I157" i="24"/>
  <c r="L67" i="24"/>
  <c r="I165" i="24"/>
  <c r="L88" i="24"/>
  <c r="H168" i="24"/>
  <c r="L119" i="24"/>
  <c r="F154" i="24"/>
  <c r="F165" i="24"/>
  <c r="L57" i="24"/>
  <c r="I169" i="24"/>
  <c r="I160" i="24"/>
  <c r="K89" i="24"/>
  <c r="K128" i="24" s="1"/>
  <c r="M128" i="24"/>
  <c r="I156" i="24"/>
  <c r="L132" i="24"/>
  <c r="I162" i="24"/>
  <c r="L79" i="24"/>
  <c r="I167" i="24"/>
  <c r="L37" i="24"/>
  <c r="F156" i="24" l="1"/>
  <c r="L89" i="24"/>
  <c r="L128" i="24" s="1"/>
  <c r="L129" i="24" s="1"/>
  <c r="I155" i="24"/>
  <c r="I181" i="24" s="1"/>
  <c r="I182" i="24" s="1"/>
  <c r="R7" i="7" l="1"/>
  <c r="R9" i="7"/>
  <c r="R8" i="7"/>
  <c r="R6" i="7"/>
  <c r="R5" i="7"/>
  <c r="R10" i="7" l="1"/>
  <c r="K10" i="14" l="1"/>
  <c r="K93" i="14" l="1"/>
  <c r="K86" i="14"/>
  <c r="K83" i="14"/>
  <c r="K80" i="14"/>
  <c r="K76" i="14"/>
  <c r="K63" i="14"/>
  <c r="K58" i="14"/>
  <c r="K53" i="14"/>
  <c r="R53" i="14" s="1"/>
  <c r="K17" i="14"/>
  <c r="K14" i="14"/>
  <c r="I97" i="14" l="1"/>
  <c r="K96" i="14"/>
  <c r="L96" i="14"/>
  <c r="L97" i="14" s="1"/>
  <c r="Q111" i="7" l="1"/>
  <c r="R99" i="7"/>
  <c r="R114" i="7" s="1"/>
  <c r="R97" i="7"/>
  <c r="Q97" i="7"/>
  <c r="S75" i="7"/>
  <c r="Q75" i="7"/>
  <c r="R69" i="7"/>
  <c r="S53" i="7"/>
  <c r="R45" i="7"/>
  <c r="R56" i="7" s="1"/>
  <c r="R38" i="7"/>
  <c r="Q38" i="7"/>
  <c r="Q32" i="7"/>
  <c r="T19" i="7"/>
  <c r="Q16" i="7"/>
  <c r="Q10" i="7"/>
  <c r="I35" i="6"/>
  <c r="I25" i="6"/>
  <c r="J23" i="6"/>
  <c r="J24" i="6" s="1"/>
  <c r="H22" i="6"/>
  <c r="G22" i="6"/>
  <c r="F22" i="6"/>
  <c r="E22" i="6"/>
  <c r="J21" i="6"/>
  <c r="J20" i="6"/>
  <c r="J19" i="6"/>
  <c r="J18" i="6"/>
  <c r="J17" i="6"/>
  <c r="J16" i="6"/>
  <c r="J15" i="6"/>
  <c r="J14" i="6"/>
  <c r="J13" i="6"/>
  <c r="J12" i="6"/>
  <c r="J11" i="6"/>
  <c r="J10" i="6"/>
  <c r="J9" i="6"/>
  <c r="J8" i="6"/>
  <c r="J7" i="6"/>
  <c r="R113" i="7" l="1"/>
  <c r="R112" i="7"/>
  <c r="R53" i="7"/>
  <c r="T86" i="7" s="1"/>
  <c r="R55" i="7"/>
  <c r="J22" i="6"/>
  <c r="J25" i="6" s="1"/>
  <c r="W38" i="7"/>
  <c r="R118" i="7" l="1"/>
  <c r="W53" i="7"/>
  <c r="D21" i="40" l="1"/>
  <c r="G21" i="40" l="1"/>
  <c r="D43" i="40"/>
  <c r="D20" i="40"/>
  <c r="G20" i="40" s="1"/>
  <c r="E24" i="40"/>
  <c r="H24" i="40" s="1"/>
  <c r="D36" i="40"/>
  <c r="G36" i="40" s="1"/>
  <c r="E36" i="40"/>
  <c r="H36" i="40" s="1"/>
  <c r="E30" i="40"/>
  <c r="H30" i="40" s="1"/>
  <c r="G43" i="40" l="1"/>
  <c r="D42" i="40"/>
  <c r="G42" i="40" s="1"/>
  <c r="E23" i="40"/>
  <c r="E43" i="40"/>
  <c r="E42" i="40" l="1"/>
  <c r="H43" i="40"/>
  <c r="H23" i="40"/>
  <c r="E49" i="40"/>
  <c r="H42" i="40" l="1"/>
  <c r="E46" i="40"/>
</calcChain>
</file>

<file path=xl/sharedStrings.xml><?xml version="1.0" encoding="utf-8"?>
<sst xmlns="http://schemas.openxmlformats.org/spreadsheetml/2006/main" count="1679" uniqueCount="661">
  <si>
    <t>Наименование подпрограммы, мероприятия</t>
  </si>
  <si>
    <t>Код бюджетной квалификации</t>
  </si>
  <si>
    <t>Профинансировано (тыс.руб.)</t>
  </si>
  <si>
    <t>Объем финансирования по муниципаль ной программе  (тыс.руб.)</t>
  </si>
  <si>
    <t>Выполнено (тыс.руб.)</t>
  </si>
  <si>
    <t>Всего (нарастающим этогом за весь период реализации программы)</t>
  </si>
  <si>
    <t>Приложение № 7</t>
  </si>
  <si>
    <t>к Порядку</t>
  </si>
  <si>
    <t>Форма итогового отчета о выполнении муниципальной программы</t>
  </si>
  <si>
    <t>Муниципальная Программа</t>
  </si>
  <si>
    <t>№ п/п</t>
  </si>
  <si>
    <t>дом</t>
  </si>
  <si>
    <t>план</t>
  </si>
  <si>
    <t>Октябрьский пр.</t>
  </si>
  <si>
    <t>Сиреневый б-р</t>
  </si>
  <si>
    <t>Замена мягкой кровли и козырьков</t>
  </si>
  <si>
    <t>ул. Текстильщиков</t>
  </si>
  <si>
    <t>1а</t>
  </si>
  <si>
    <t>Перечень</t>
  </si>
  <si>
    <t>мероприятий по благоустройству территории жилой застройки в городском округе Троицк в 2014 году.</t>
  </si>
  <si>
    <t>Приложение 2</t>
  </si>
  <si>
    <t>к муниципальной Программе «Благоустройство территории жилой застройки в городском округе Троицк в 2014 году»</t>
  </si>
  <si>
    <t xml:space="preserve">                                                                                                                                 </t>
  </si>
  <si>
    <t>Титульный список благоустройства территории жилой застройки в г.о.Троицк в г.Москве в 2014г.</t>
  </si>
  <si>
    <t>Муниципальное образование</t>
  </si>
  <si>
    <t>Улица</t>
  </si>
  <si>
    <t>корп.</t>
  </si>
  <si>
    <t>Общая площадь дворовой территории, кв.м</t>
  </si>
  <si>
    <t xml:space="preserve">Наименование объекта благоустройства, расположенных  на дворовой территории (МАФ, газон и т.б.) </t>
  </si>
  <si>
    <t>Ед. измер.</t>
  </si>
  <si>
    <t>Кол-во</t>
  </si>
  <si>
    <t>Фактический объем</t>
  </si>
  <si>
    <t>Вид выполняемых работ</t>
  </si>
  <si>
    <t>План по программе, руб.</t>
  </si>
  <si>
    <t>Фактическая оплата за        9 мес., руб</t>
  </si>
  <si>
    <t>в т.ч. штрафы</t>
  </si>
  <si>
    <t>Снятие ЗУ, и др.затрат</t>
  </si>
  <si>
    <t>Подрядная организация</t>
  </si>
  <si>
    <t>Контракт</t>
  </si>
  <si>
    <t>городской округ Троицк</t>
  </si>
  <si>
    <t>ул.Солнечная</t>
  </si>
  <si>
    <t>дорожно-тропиночная сеть АБП</t>
  </si>
  <si>
    <t>кв.м.</t>
  </si>
  <si>
    <t>ремонт</t>
  </si>
  <si>
    <t>ООО "Дорога Да"</t>
  </si>
  <si>
    <t>МК 127</t>
  </si>
  <si>
    <t>дорожно-тропиночная сеть с плиточным покрытием</t>
  </si>
  <si>
    <t>устройство</t>
  </si>
  <si>
    <t>газон</t>
  </si>
  <si>
    <t xml:space="preserve">ремонт </t>
  </si>
  <si>
    <t>наружное освещение</t>
  </si>
  <si>
    <t>шт</t>
  </si>
  <si>
    <t xml:space="preserve">устройство </t>
  </si>
  <si>
    <t>Итого:</t>
  </si>
  <si>
    <t>ул.Школьная</t>
  </si>
  <si>
    <t>тротуар</t>
  </si>
  <si>
    <t>ул. Нагорная</t>
  </si>
  <si>
    <t>бортовой камень</t>
  </si>
  <si>
    <t>м.п.</t>
  </si>
  <si>
    <t xml:space="preserve">установка </t>
  </si>
  <si>
    <t xml:space="preserve">резиновое покрытие </t>
  </si>
  <si>
    <t>Доп.согл.№254/14</t>
  </si>
  <si>
    <t>ограждение (h=500мм)</t>
  </si>
  <si>
    <t>п.м.</t>
  </si>
  <si>
    <t>передача МАФ на Пионерскую</t>
  </si>
  <si>
    <t>игровой комплекс</t>
  </si>
  <si>
    <t xml:space="preserve">монтаж </t>
  </si>
  <si>
    <t>МАФ</t>
  </si>
  <si>
    <t>дооснащение</t>
  </si>
  <si>
    <t>скамейки</t>
  </si>
  <si>
    <t>монтаж</t>
  </si>
  <si>
    <t>урны</t>
  </si>
  <si>
    <t>ул.Лесная</t>
  </si>
  <si>
    <t xml:space="preserve">дооснащение </t>
  </si>
  <si>
    <t>деревья</t>
  </si>
  <si>
    <t>санитарная обрезка</t>
  </si>
  <si>
    <t>ул.Пионерская</t>
  </si>
  <si>
    <t>резиновое покрытие</t>
  </si>
  <si>
    <t>передача МАФ с Нагорной 5 на Пионерскую</t>
  </si>
  <si>
    <t xml:space="preserve">санитарная обрезка </t>
  </si>
  <si>
    <t>Парковый переулок</t>
  </si>
  <si>
    <t>клумбы</t>
  </si>
  <si>
    <t>микрорайон В</t>
  </si>
  <si>
    <t>АБП</t>
  </si>
  <si>
    <t>ремонт АБП с заменой бортового камня</t>
  </si>
  <si>
    <t>проезжая часть</t>
  </si>
  <si>
    <t xml:space="preserve">расширение </t>
  </si>
  <si>
    <t>ул.Текстильщиков</t>
  </si>
  <si>
    <t xml:space="preserve"> ремонт </t>
  </si>
  <si>
    <t>Академическая пл.</t>
  </si>
  <si>
    <t>плиточное покрытие</t>
  </si>
  <si>
    <t>ограждение (h=400мм)</t>
  </si>
  <si>
    <t>вертикальное озеленение</t>
  </si>
  <si>
    <t>Всего по МК 127</t>
  </si>
  <si>
    <t>асфальтобетонное основание под площадку для бункера-накопителя для КГМ</t>
  </si>
  <si>
    <t xml:space="preserve">Микрорайон «В» </t>
  </si>
  <si>
    <t>ООО "Стройсервис"</t>
  </si>
  <si>
    <t>МК 157</t>
  </si>
  <si>
    <t xml:space="preserve">Парковый переулок </t>
  </si>
  <si>
    <t xml:space="preserve">Сиреневый б-р </t>
  </si>
  <si>
    <t>ограждение (h=1200мм) для площадки для бункера-накопителя для КГМ</t>
  </si>
  <si>
    <t>Ул. Солнечная</t>
  </si>
  <si>
    <t xml:space="preserve">Ул. Центральная </t>
  </si>
  <si>
    <t>Ул. Центральная</t>
  </si>
  <si>
    <t>Октябрьский проспект</t>
  </si>
  <si>
    <t>Ул. Юбилейная</t>
  </si>
  <si>
    <t>Ул. Пушковых</t>
  </si>
  <si>
    <t>Ул. Радужная</t>
  </si>
  <si>
    <t>Всего по МК 157</t>
  </si>
  <si>
    <t>ООО "Инстрой сеть"</t>
  </si>
  <si>
    <t>МК 159</t>
  </si>
  <si>
    <t>Отсев с подготовкой основания</t>
  </si>
  <si>
    <t>Дооснащение</t>
  </si>
  <si>
    <t>ул. Парковая</t>
  </si>
  <si>
    <t>Всего по МК 159</t>
  </si>
  <si>
    <t>Технический надзор</t>
  </si>
  <si>
    <t>технический надзор 1,4%</t>
  </si>
  <si>
    <t>ДСК 7</t>
  </si>
  <si>
    <t>МК 138</t>
  </si>
  <si>
    <t xml:space="preserve">ул.Лесная </t>
  </si>
  <si>
    <t>асфальтовое основание под площадку для детских колясок</t>
  </si>
  <si>
    <t>кв.м</t>
  </si>
  <si>
    <t xml:space="preserve">ООО «Юни» </t>
  </si>
  <si>
    <t>МК 68</t>
  </si>
  <si>
    <t>навес на площадке для детских колясок</t>
  </si>
  <si>
    <t>корпус</t>
  </si>
  <si>
    <t>Площадка для бункера-накопителя для КГМ</t>
  </si>
  <si>
    <t>Деревья, кустарники</t>
  </si>
  <si>
    <t>Урны</t>
  </si>
  <si>
    <t>ед. измерения</t>
  </si>
  <si>
    <t>факт</t>
  </si>
  <si>
    <t>м2</t>
  </si>
  <si>
    <t xml:space="preserve"> -</t>
  </si>
  <si>
    <t>ул.Спортивная</t>
  </si>
  <si>
    <t>7а</t>
  </si>
  <si>
    <t>ООО "Газэкострой"</t>
  </si>
  <si>
    <t>Замена канализации (разводка по подвалу)</t>
  </si>
  <si>
    <t>Замена системы ХВС (разводка по подвалу)</t>
  </si>
  <si>
    <t>Замена системы ГВС (разводка по подвалу)</t>
  </si>
  <si>
    <t>Замена системы ЦО с 6 элеваторными узлами (разводка по подвалу и чердаку)</t>
  </si>
  <si>
    <t>установка ОДПУ (ЦО, ГВС, ХВС)</t>
  </si>
  <si>
    <t>Титульный список по ремонту объектов дорожного хозяйства на 2014 год в городском округе Троицк в городе Москве</t>
  </si>
  <si>
    <t xml:space="preserve">Наименование городского округа, поселения </t>
  </si>
  <si>
    <t xml:space="preserve">Местоположние объекта дорожного хозяйства </t>
  </si>
  <si>
    <t>Описание</t>
  </si>
  <si>
    <t>Протяженность объекта, п.м.</t>
  </si>
  <si>
    <t>Площадь объекта, кв.м.</t>
  </si>
  <si>
    <t>Площадь ремонта, кв.м.</t>
  </si>
  <si>
    <t>Стоимость работ, тыс.руб.</t>
  </si>
  <si>
    <t>Подрядная орг-ция</t>
  </si>
  <si>
    <t>Троицк</t>
  </si>
  <si>
    <t>ул.Лесхозная</t>
  </si>
  <si>
    <t>Подъезд к химчистке</t>
  </si>
  <si>
    <t xml:space="preserve">Дорога ул. Дальняя    </t>
  </si>
  <si>
    <t>ОАО "ДРСУ"</t>
  </si>
  <si>
    <t>МК 125</t>
  </si>
  <si>
    <t>Въезд между придомовой территорией д. 26 по ул. Центральной и Выставочным залом ТРИНИТИ</t>
  </si>
  <si>
    <t>ул.Парковая</t>
  </si>
  <si>
    <t>Проезд Административный</t>
  </si>
  <si>
    <t>Троицк-Пучково</t>
  </si>
  <si>
    <t>Мкр. В, проезд от дома 16 до Общественного центра</t>
  </si>
  <si>
    <t>ул.Центральная-ИЯИ</t>
  </si>
  <si>
    <t>проезд ул.Большая Октябрьская-мкр.В, д.30,31</t>
  </si>
  <si>
    <t>ул. 2-я Пионерская</t>
  </si>
  <si>
    <t>Пер. 2-й Богородский</t>
  </si>
  <si>
    <t>Пер. 3-й Богородский</t>
  </si>
  <si>
    <t>Итого по контракту 125</t>
  </si>
  <si>
    <t>оплата в 4 кв.14г.</t>
  </si>
  <si>
    <t>ООО "ДСК-7"</t>
  </si>
  <si>
    <t>МК 136</t>
  </si>
  <si>
    <t>не оплачено</t>
  </si>
  <si>
    <t>Итого по контракту 136</t>
  </si>
  <si>
    <t>Титульный список по ремонту объектов дорожного хозяйства на 2014 год в городском округе Троицк в городе Москве (за счет средств городского округа Троицк)</t>
  </si>
  <si>
    <t>МК 88</t>
  </si>
  <si>
    <t>оплата 17.11.14г.</t>
  </si>
  <si>
    <t>4 276,00</t>
  </si>
  <si>
    <t xml:space="preserve">ООО «АС-ГРУПП» </t>
  </si>
  <si>
    <t>ООО "ВС-групп"</t>
  </si>
  <si>
    <t>ул.Нагорная</t>
  </si>
  <si>
    <t>15а</t>
  </si>
  <si>
    <t>Теплоизоляция труб в техподполье</t>
  </si>
  <si>
    <t>Ул.Лесная</t>
  </si>
  <si>
    <t>Разработка проекта капитального ремонта кровли</t>
  </si>
  <si>
    <t>Октябрьский пр-т</t>
  </si>
  <si>
    <t>Разработка проекта организации пандуса</t>
  </si>
  <si>
    <t>Устройство пандуса</t>
  </si>
  <si>
    <t>№ 311/14</t>
  </si>
  <si>
    <t>ТРАСТ</t>
  </si>
  <si>
    <t>№ 312/14</t>
  </si>
  <si>
    <t>№ 313/14</t>
  </si>
  <si>
    <t>№ 314/14</t>
  </si>
  <si>
    <t>№ 315/14</t>
  </si>
  <si>
    <t>№ 316/14</t>
  </si>
  <si>
    <t>НПФ "Техноэко"</t>
  </si>
  <si>
    <t>Титульный список объектов по капитальному ремонту многоквартирных жилых домов в г.о.Троицк в 2014г. (за счет средств субсидии из бюджета г.Москвы)</t>
  </si>
  <si>
    <t>№п/п</t>
  </si>
  <si>
    <t>серия</t>
  </si>
  <si>
    <t>Год постройки</t>
  </si>
  <si>
    <t xml:space="preserve">Материал конструктивных элементов </t>
  </si>
  <si>
    <t>Этажность</t>
  </si>
  <si>
    <t>Кол-во подъездов</t>
  </si>
  <si>
    <t>Кол-во квартир</t>
  </si>
  <si>
    <t>Общая площадь МКД, кв.м</t>
  </si>
  <si>
    <t>Общий размер жилой площади всех жилых помещений в доме, кв.м</t>
  </si>
  <si>
    <t>Элементы/Вид работ</t>
  </si>
  <si>
    <t>Объем работ</t>
  </si>
  <si>
    <t>план по программе, руб.</t>
  </si>
  <si>
    <t>в т.ч. Штрафы</t>
  </si>
  <si>
    <t>Ед.изм.</t>
  </si>
  <si>
    <t>Натур. Показат</t>
  </si>
  <si>
    <t>Солнечная</t>
  </si>
  <si>
    <t>повт.прим.</t>
  </si>
  <si>
    <t>панель</t>
  </si>
  <si>
    <r>
      <t>Капитальный ремонт (Замена)</t>
    </r>
    <r>
      <rPr>
        <sz val="12"/>
        <color theme="1"/>
        <rFont val="Times New Roman"/>
        <family val="1"/>
        <charset val="204"/>
      </rPr>
      <t xml:space="preserve"> </t>
    </r>
    <r>
      <rPr>
        <sz val="10"/>
        <color theme="1"/>
        <rFont val="Times New Roman"/>
        <family val="1"/>
        <charset val="204"/>
      </rPr>
      <t>ГВС (разводка по подвалу)</t>
    </r>
  </si>
  <si>
    <t>п.м</t>
  </si>
  <si>
    <t>ООО "Волстройком"</t>
  </si>
  <si>
    <t xml:space="preserve">№0148300006813000124-0045601-02 </t>
  </si>
  <si>
    <t>Капитальный ремонт (Замена) ХВС (разводка по подвалу)</t>
  </si>
  <si>
    <t>Капитальный ремонт (Замена) ЦО с тремя элеваторными узлами (разводка по подвалу)</t>
  </si>
  <si>
    <t>Капитальный ремонт (Замена) канализации (разводка по подвалу)</t>
  </si>
  <si>
    <t>установка ОДПУ (ХВС, ГВС, ЦО)</t>
  </si>
  <si>
    <t>Капитальный ремонт (Замена) ГВС (разводка по подвалу)</t>
  </si>
  <si>
    <r>
      <t xml:space="preserve">Капитальный ремонт </t>
    </r>
    <r>
      <rPr>
        <sz val="10"/>
        <color theme="1"/>
        <rFont val="Times New Roman"/>
        <family val="1"/>
        <charset val="204"/>
      </rPr>
      <t xml:space="preserve">(Замена) </t>
    </r>
    <r>
      <rPr>
        <sz val="10"/>
        <color rgb="FF000000"/>
        <rFont val="Times New Roman"/>
        <family val="1"/>
        <charset val="204"/>
      </rPr>
      <t>электрощитовой с перетяжкой стояков, ремонт этажных стояков</t>
    </r>
  </si>
  <si>
    <t>строение</t>
  </si>
  <si>
    <t xml:space="preserve">ООО "СК Высота", </t>
  </si>
  <si>
    <t>№0148300006813000122-0045601-01</t>
  </si>
  <si>
    <t xml:space="preserve">Октябрьский проспект </t>
  </si>
  <si>
    <t>Капитальный ремонт (Замена) мягкой кровли и козырьков</t>
  </si>
  <si>
    <t>м.кв</t>
  </si>
  <si>
    <t xml:space="preserve">ООО "СитиАльпСтрой", </t>
  </si>
  <si>
    <t xml:space="preserve">№0148300006813000123-0045601-01 </t>
  </si>
  <si>
    <r>
      <t xml:space="preserve">Капитальный ремонт </t>
    </r>
    <r>
      <rPr>
        <sz val="10"/>
        <color theme="1"/>
        <rFont val="Times New Roman"/>
        <family val="1"/>
        <charset val="204"/>
      </rPr>
      <t xml:space="preserve">(Замена) </t>
    </r>
    <r>
      <rPr>
        <sz val="10"/>
        <color rgb="FF000000"/>
        <rFont val="Times New Roman"/>
        <family val="1"/>
        <charset val="204"/>
      </rPr>
      <t>мягкой кровли</t>
    </r>
  </si>
  <si>
    <t>Юбилейная</t>
  </si>
  <si>
    <t>кирпич</t>
  </si>
  <si>
    <r>
      <t xml:space="preserve">Капитальный ремонт </t>
    </r>
    <r>
      <rPr>
        <sz val="10"/>
        <color theme="1"/>
        <rFont val="Times New Roman"/>
        <family val="1"/>
        <charset val="204"/>
      </rPr>
      <t xml:space="preserve">(Замена) </t>
    </r>
    <r>
      <rPr>
        <sz val="10"/>
        <color rgb="FF000000"/>
        <rFont val="Times New Roman"/>
        <family val="1"/>
        <charset val="204"/>
      </rPr>
      <t>мягкой кровли и козырьков</t>
    </r>
  </si>
  <si>
    <t>м. кв</t>
  </si>
  <si>
    <t>Лесная</t>
  </si>
  <si>
    <t>Школьная</t>
  </si>
  <si>
    <r>
      <t xml:space="preserve">Капитальный ремонт </t>
    </r>
    <r>
      <rPr>
        <sz val="10"/>
        <color theme="1"/>
        <rFont val="Times New Roman"/>
        <family val="1"/>
        <charset val="204"/>
      </rPr>
      <t xml:space="preserve">(Замена) </t>
    </r>
    <r>
      <rPr>
        <sz val="10"/>
        <color rgb="FF000000"/>
        <rFont val="Times New Roman"/>
        <family val="1"/>
        <charset val="204"/>
      </rPr>
      <t xml:space="preserve">мягкой кровли </t>
    </r>
  </si>
  <si>
    <t xml:space="preserve">м-н"В" </t>
  </si>
  <si>
    <t>I-515</t>
  </si>
  <si>
    <t>Капитальный ремонт (Замена) ЦО с четырьмя элеваторными узлами (разводка по подвалу)</t>
  </si>
  <si>
    <t>установка ОДПУ (ГВС, ЦО)</t>
  </si>
  <si>
    <t>шт.</t>
  </si>
  <si>
    <t>II-18</t>
  </si>
  <si>
    <t>Центральная</t>
  </si>
  <si>
    <t>индивид.</t>
  </si>
  <si>
    <t xml:space="preserve">Лесная </t>
  </si>
  <si>
    <r>
      <t xml:space="preserve">Капитальный ремонт </t>
    </r>
    <r>
      <rPr>
        <sz val="10"/>
        <color theme="1"/>
        <rFont val="Times New Roman"/>
        <family val="1"/>
        <charset val="204"/>
      </rPr>
      <t xml:space="preserve">(Замена) </t>
    </r>
    <r>
      <rPr>
        <sz val="10"/>
        <color rgb="FF000000"/>
        <rFont val="Times New Roman"/>
        <family val="1"/>
        <charset val="204"/>
      </rPr>
      <t>кровли из металлочерепицы и козырьков из рулонных материалов</t>
    </r>
  </si>
  <si>
    <t>Капиальный ремонт (Замена) металлической кровли</t>
  </si>
  <si>
    <t>м.кв.</t>
  </si>
  <si>
    <t>кровли</t>
  </si>
  <si>
    <t>ВИС</t>
  </si>
  <si>
    <t>Электр</t>
  </si>
  <si>
    <t>Титульный список объектов по капитальному ремонту многоквартирных жилых домов в г.о.Троицк в 2014г. (на средства экономии после проведенных торгов за счет субсидии из бюджета г.Москвы)</t>
  </si>
  <si>
    <t xml:space="preserve">Материал конструкктивных элементов </t>
  </si>
  <si>
    <t>Всего стоимость по программе, руб.</t>
  </si>
  <si>
    <t>В том числе:</t>
  </si>
  <si>
    <t>Фактическая оплата за 9 мес., руб</t>
  </si>
  <si>
    <t>Натур. Показат.</t>
  </si>
  <si>
    <t>Фактич.объемы</t>
  </si>
  <si>
    <t>Стоим ПСД, руб.</t>
  </si>
  <si>
    <t>Стоим. СМР, руб.</t>
  </si>
  <si>
    <t xml:space="preserve">ул.Новая </t>
  </si>
  <si>
    <t>Разработка проектно-сметной документации на гидроизоляцию подвала</t>
  </si>
  <si>
    <t xml:space="preserve">ООО "Роспроекткон салт", </t>
  </si>
  <si>
    <t xml:space="preserve">№289/14 </t>
  </si>
  <si>
    <t xml:space="preserve">ул.Лагерная </t>
  </si>
  <si>
    <t>2б</t>
  </si>
  <si>
    <t>Разработка проектно-сметной документации на капитальный ремонт балконов</t>
  </si>
  <si>
    <t xml:space="preserve">№286/14    </t>
  </si>
  <si>
    <t>Разработка проектно-сметной документации на замену кровли из шифера на металлочерепицу</t>
  </si>
  <si>
    <t>ООО "Воздвиженка"</t>
  </si>
  <si>
    <t xml:space="preserve">287/14 </t>
  </si>
  <si>
    <t>ул.Пушковых</t>
  </si>
  <si>
    <t>панели</t>
  </si>
  <si>
    <t>ул.Центральная</t>
  </si>
  <si>
    <t>Б-11</t>
  </si>
  <si>
    <t>Текстильщиков</t>
  </si>
  <si>
    <t>ПСД</t>
  </si>
  <si>
    <t>Титульный список объектов по капитальному ремонту многоквартирных жилых домов в г.о.Троицк в 2014г. (за счет средств бюджета г.о.Троицк)</t>
  </si>
  <si>
    <t xml:space="preserve">Центральная </t>
  </si>
  <si>
    <t>Капитальный ремонт отмостки</t>
  </si>
  <si>
    <t>№0148300006813000039</t>
  </si>
  <si>
    <t>Пионерская</t>
  </si>
  <si>
    <t>Пушковых</t>
  </si>
  <si>
    <t>Капитальный ремонт отмостки (доп. Работы)</t>
  </si>
  <si>
    <t xml:space="preserve">Договор №210/14 </t>
  </si>
  <si>
    <t>7 078,00</t>
  </si>
  <si>
    <t>14 551,00</t>
  </si>
  <si>
    <t>14 629,00</t>
  </si>
  <si>
    <t>2 191,00</t>
  </si>
  <si>
    <t>№ 322/14</t>
  </si>
  <si>
    <t>3 608,00</t>
  </si>
  <si>
    <t>3 597,00</t>
  </si>
  <si>
    <t>3 619,00</t>
  </si>
  <si>
    <t>4 554,00</t>
  </si>
  <si>
    <t>Лотова А.</t>
  </si>
  <si>
    <t>отмостки</t>
  </si>
  <si>
    <t>теплоизол</t>
  </si>
  <si>
    <t>"Уют"</t>
  </si>
  <si>
    <t>технический надзор по электрощитовым</t>
  </si>
  <si>
    <t>Технический надзор по кровлям</t>
  </si>
  <si>
    <t>технический надзор по отмосткам</t>
  </si>
  <si>
    <t>Технический надзор по канализации, ХВС, ГВС,ЦО,ОДПУ</t>
  </si>
  <si>
    <t>Технический надзор по инженерным системам</t>
  </si>
  <si>
    <t>Технический надзор дорог</t>
  </si>
  <si>
    <t>оплачено в ноябре, декабре</t>
  </si>
  <si>
    <t>Всего по МК 68</t>
  </si>
  <si>
    <t>благоус-во по 13 адресам</t>
  </si>
  <si>
    <t>бункерные пл-ки по 15 адресам</t>
  </si>
  <si>
    <t>технадзор</t>
  </si>
  <si>
    <t>Технадзор</t>
  </si>
  <si>
    <t>«Мероприятия по обеспечению безопасности дорожного движения на территории городского округа Троицк в 2014 году».</t>
  </si>
  <si>
    <t>Субсидия из бюджета г.Москвы</t>
  </si>
  <si>
    <t>Наименование объекта</t>
  </si>
  <si>
    <t>Протяженность объекта по оси (п.м)</t>
  </si>
  <si>
    <t>Линии продольной разметки</t>
  </si>
  <si>
    <t>Пешеходные переходы</t>
  </si>
  <si>
    <t>Остановки общественного транспорта</t>
  </si>
  <si>
    <t>Желтая разметка (стоянка запрещена)</t>
  </si>
  <si>
    <t>Островки безопасности</t>
  </si>
  <si>
    <t>Стоп-линия</t>
  </si>
  <si>
    <t>Стрелы</t>
  </si>
  <si>
    <t>Дублирование дорожных знаков</t>
  </si>
  <si>
    <t>Обозначения стоянок автотранспорта инвалидов</t>
  </si>
  <si>
    <t>Парковки</t>
  </si>
  <si>
    <t>ИН (шашки)</t>
  </si>
  <si>
    <t>Финансирование с учётом НДС</t>
  </si>
  <si>
    <t>м/м</t>
  </si>
  <si>
    <t>руб.</t>
  </si>
  <si>
    <t>г. Троицк – Пучково</t>
  </si>
  <si>
    <t>Ул. Большая Октябрьская</t>
  </si>
  <si>
    <t>Ул. Центральная-41 км</t>
  </si>
  <si>
    <t>Проезд А-101 «Москва – Малоярославец – Рославль» - ул. Центральная</t>
  </si>
  <si>
    <t>Ул. Лесная</t>
  </si>
  <si>
    <t>Ул. Школьная</t>
  </si>
  <si>
    <t>Проезд пр-кт Октябрьский-ул.Большая Октябрьская</t>
  </si>
  <si>
    <t>Проезд к д.16 – Общественный центр м-на «В»</t>
  </si>
  <si>
    <t>подъезд к ДК-3 и ЦТП-17</t>
  </si>
  <si>
    <t>От конечной остановки автобусов в микрорайоне «В», в районе жилых домов В-10, 14 , 3 к школе № 6, вдоль котельной № 13, к жилым домам В – 9, 52, 54 до КНС за домом В - 54</t>
  </si>
  <si>
    <t>проезд к Начальной школе</t>
  </si>
  <si>
    <t>ул. Центральная-ИЯИ</t>
  </si>
  <si>
    <t>Проезд к городской поликлинике</t>
  </si>
  <si>
    <t>От въезда с Октябрьского проспекта в районе жилых домов 3а и 3б Октябрьского проспекта до здания городского Морга на территории больницы РАН</t>
  </si>
  <si>
    <t>От въезда с Октябрьского проспекта к жилым домам д. 7, 9, 11 Октябрьского проспекта до д. 7 Октябрьского проспекта</t>
  </si>
  <si>
    <t>проезд к рынку и Центральной котельной</t>
  </si>
  <si>
    <t>ул. Пушковых</t>
  </si>
  <si>
    <t>ул. Спортивная</t>
  </si>
  <si>
    <t>Проезд к кладбищу</t>
  </si>
  <si>
    <t>Подъезд к очистным сооружениям</t>
  </si>
  <si>
    <t>От Калужского шоссе через д. Ватутинки-2 до въезда в Детский кардиоревматологический санаторий № 20 "Красная Пахра"</t>
  </si>
  <si>
    <t>Торговый центр</t>
  </si>
  <si>
    <t>Разворотный автобусный круг в микрорайоне В</t>
  </si>
  <si>
    <t>ул. Лесхозная</t>
  </si>
  <si>
    <t>Демаркировка</t>
  </si>
  <si>
    <t>Итого</t>
  </si>
  <si>
    <t>ТИТУЛЬНЫЙ СПИСОК</t>
  </si>
  <si>
    <t>Стоимость проектных работ</t>
  </si>
  <si>
    <t>тыс. руб.</t>
  </si>
  <si>
    <t>Проезд к Начальной школе</t>
  </si>
  <si>
    <t>НДС 18%</t>
  </si>
  <si>
    <t>Итого с НДС</t>
  </si>
  <si>
    <t>Приложение 3</t>
  </si>
  <si>
    <t>к Муниципальной программе</t>
  </si>
  <si>
    <t>Наименование мероприятий муниципальной программы</t>
  </si>
  <si>
    <t>Наименование показателя</t>
  </si>
  <si>
    <t>Плановые значения</t>
  </si>
  <si>
    <t>3.</t>
  </si>
  <si>
    <t>Мероприятия по совершенствованию организации движения транспортных средств и пешеходов</t>
  </si>
  <si>
    <t>3.1.</t>
  </si>
  <si>
    <t>Организация проверок состояния улично-дорожной сети, качества освещённости улиц и дорог городского округа Троицк.</t>
  </si>
  <si>
    <t xml:space="preserve">Проведение проверок в течение года     </t>
  </si>
  <si>
    <t xml:space="preserve">шт.     </t>
  </si>
  <si>
    <t>3.2.</t>
  </si>
  <si>
    <t>Приобретение и установка ограждающих столбиков для исключения парковки машин на тротуарах.</t>
  </si>
  <si>
    <t xml:space="preserve">Установка ограждающих столбиков   </t>
  </si>
  <si>
    <t>3.3.</t>
  </si>
  <si>
    <t>Нанесение разметки пластическими материалами на объектах дорожного хозяйства для обеспечения безопасности движения транспортных средств и пешеходов.</t>
  </si>
  <si>
    <t xml:space="preserve">Нанесение разметки на автодорогах     </t>
  </si>
  <si>
    <t xml:space="preserve">кв.м.      </t>
  </si>
  <si>
    <t>3.4.</t>
  </si>
  <si>
    <t>Нанесение разметки на объектах дорожного хозяйства для обеспечения безопасности движения транспортных средств и пешеходов.</t>
  </si>
  <si>
    <t>1 698,79</t>
  </si>
  <si>
    <t>3.5.</t>
  </si>
  <si>
    <t>Проектирование дорожной разметки и разработка проектов организации дорожного движения на улично-дорожной сети</t>
  </si>
  <si>
    <t>Проектирование дорожной разметки и разработка проектов организации дорожного движения на улично-дорожной сети городского округа</t>
  </si>
  <si>
    <t>Ед.</t>
  </si>
  <si>
    <t>3.6.</t>
  </si>
  <si>
    <t>3.7.</t>
  </si>
  <si>
    <t>Приобретение дорожных знаков для обеспечения безопасности движения транспортных средств и пешеходов.</t>
  </si>
  <si>
    <t>Приобретение дорожных знаков</t>
  </si>
  <si>
    <t xml:space="preserve">шт.      </t>
  </si>
  <si>
    <t>3.8.</t>
  </si>
  <si>
    <t>МК 126</t>
  </si>
  <si>
    <r>
      <t xml:space="preserve">объектов дорожного хозяйства на </t>
    </r>
    <r>
      <rPr>
        <b/>
        <sz val="12"/>
        <color rgb="FFFF0000"/>
        <rFont val="Times New Roman"/>
        <family val="1"/>
        <charset val="204"/>
      </rPr>
      <t>проектирование дорожной разметки</t>
    </r>
    <r>
      <rPr>
        <b/>
        <sz val="12"/>
        <color theme="1"/>
        <rFont val="Times New Roman"/>
        <family val="1"/>
        <charset val="204"/>
      </rPr>
      <t xml:space="preserve"> и разработку проектов организации дорожного движения на улично-дорожной сети г.о. Троицк (на средства экономии после проведённых торгов)</t>
    </r>
  </si>
  <si>
    <t>МК 281/14</t>
  </si>
  <si>
    <t>к Муницыпальной программе</t>
  </si>
  <si>
    <t>155/14</t>
  </si>
  <si>
    <t>ООО "Стройзаказчик"</t>
  </si>
  <si>
    <t>МК 158</t>
  </si>
  <si>
    <t>План по программе, тыс.руб.</t>
  </si>
  <si>
    <t>Фактическая оплата, тыс.руб</t>
  </si>
  <si>
    <t>Итого по программе</t>
  </si>
  <si>
    <t>Академическая пл. д.3</t>
  </si>
  <si>
    <t>за счет средств бюджета г.о.Троицк</t>
  </si>
  <si>
    <t>Академическая площадь</t>
  </si>
  <si>
    <t>8 000,00</t>
  </si>
  <si>
    <t>Бетонное основание под плиточное покрытие</t>
  </si>
  <si>
    <t>Кв.м</t>
  </si>
  <si>
    <t>2 284,4</t>
  </si>
  <si>
    <t>Фонтан</t>
  </si>
  <si>
    <t>Шт</t>
  </si>
  <si>
    <t>Устройство</t>
  </si>
  <si>
    <t>Посадка</t>
  </si>
  <si>
    <t>Скамейки</t>
  </si>
  <si>
    <t>МК 79</t>
  </si>
  <si>
    <t>ул.Юбилейная</t>
  </si>
  <si>
    <t>Территория у магазина "3 поросенка"</t>
  </si>
  <si>
    <t>Ремонт асфальтобетонного покрытия</t>
  </si>
  <si>
    <t>Участок тротуара "Идущий от жилых домов д.19 и д.19а Октябрьского проспекта через лесной массив до станции перекачки КНС – Т 31"</t>
  </si>
  <si>
    <t>Ремонт асфальтового тротуара шириной 1м с расширением до 1,2м</t>
  </si>
  <si>
    <t>Парковый переулок д.1 (территория ближе к дому Парковый переулок д.4)</t>
  </si>
  <si>
    <t>Ремонт тротуаров из плитки</t>
  </si>
  <si>
    <t>Участки тротуаров между ул. Центральная, придомовой терриорией д.26 по ул. Центральная и Сиреневым бульваром</t>
  </si>
  <si>
    <t>Ремонт плиточного покрытия</t>
  </si>
  <si>
    <t>ул. Текстильщиков (водоотвод у памятника)</t>
  </si>
  <si>
    <t>Устройство бордюра вдоль обочины у памятника</t>
  </si>
  <si>
    <t>Асфальтирование обочины вдоль памятника</t>
  </si>
  <si>
    <t>Тротуар вдоль забора школы №6 со стороны д.52.</t>
  </si>
  <si>
    <t>Устройство асфальтового тротуара</t>
  </si>
  <si>
    <t xml:space="preserve">Тротуар со стороны дома Академическая пл. д.4 на повороте между ул.Б.Октябрьская и проездом проспект Октябрьский - ул.Большая Октябрьская. </t>
  </si>
  <si>
    <t>тротуар вдоль домов В-21, В-20 со стороны д/с №7 (вдоль забора детского сада).</t>
  </si>
  <si>
    <t>Микрорайон "В" д.1</t>
  </si>
  <si>
    <t>Устройство парковочных карманов на 10 машиномест</t>
  </si>
  <si>
    <t>Ремонт газона</t>
  </si>
  <si>
    <t>Детские площадки г.о.Троицк</t>
  </si>
  <si>
    <t>Доукомплектование детских площадок игровым оборудованием</t>
  </si>
  <si>
    <t>Дворовые территории г.о.Троицк</t>
  </si>
  <si>
    <t>га</t>
  </si>
  <si>
    <t>Проведение подготовительных, полевых и камеральных работ по инвентаризации озелененных территорий в скверах и на улицах</t>
  </si>
  <si>
    <t>Создание горизонтальных топографических планов в М1:500</t>
  </si>
  <si>
    <t>Услуги по заполнению электронной базы АИС "Реестр зеленых насаждений"</t>
  </si>
  <si>
    <t>Создание системы электронного учета зеленых насаждений</t>
  </si>
  <si>
    <t>Техническая инвентаризация земельных участков</t>
  </si>
  <si>
    <t>ул.Нагорная д.5</t>
  </si>
  <si>
    <t>Устройство плиточного покрытия под песочницу</t>
  </si>
  <si>
    <t>Ремонт асфальтобетонного покрытия тротуара с расширением и проезжей части объекта дорожного хозяйства</t>
  </si>
  <si>
    <t>Октябрьский пр. д.3а</t>
  </si>
  <si>
    <t>Ямочный ремонт</t>
  </si>
  <si>
    <t>Октябрьский пр. д.3б</t>
  </si>
  <si>
    <t>Октябрьский пр. д.19</t>
  </si>
  <si>
    <t>Октябрьский пр. д.21</t>
  </si>
  <si>
    <t>Октябрьский пр. д.29а</t>
  </si>
  <si>
    <t>Октябрьский пр. д.19а</t>
  </si>
  <si>
    <t>ул.Нагорная д.4</t>
  </si>
  <si>
    <t>ул.Нагорная д.6</t>
  </si>
  <si>
    <t>ул.Нагорная д.8</t>
  </si>
  <si>
    <t>ул.Нагорная д.10</t>
  </si>
  <si>
    <t>Сиреневый б-р д.15</t>
  </si>
  <si>
    <t>Сиреневый б-р д.5</t>
  </si>
  <si>
    <t>ул.Центральная д.26</t>
  </si>
  <si>
    <t>ул.Центральная д.18</t>
  </si>
  <si>
    <t>ул.Центральная д.12а</t>
  </si>
  <si>
    <t>микрорайон В д.12</t>
  </si>
  <si>
    <t>микрорайон В д.54</t>
  </si>
  <si>
    <t>микрорайон В д.52</t>
  </si>
  <si>
    <t>микрорайон В д.2</t>
  </si>
  <si>
    <t>микрорайон В д.41</t>
  </si>
  <si>
    <t>ул.Текстильщиков д.6</t>
  </si>
  <si>
    <t>ул.Текстильщиков д.8</t>
  </si>
  <si>
    <t>ул.Парковая д.1</t>
  </si>
  <si>
    <t>Ремонт парковки из плитки</t>
  </si>
  <si>
    <t>Академическая пл. д.1, тренажерная площадка</t>
  </si>
  <si>
    <t>устройство резинового покрытия с основанием</t>
  </si>
  <si>
    <t>устройство и ремонт тротуаров</t>
  </si>
  <si>
    <t>установка ограждения высотой 1,2м</t>
  </si>
  <si>
    <t>установка стоек под тренажеры</t>
  </si>
  <si>
    <t>Тротуар от въезда с Октябрьского проспекта к жилым домам д. 7, 9, 11 Октябрьского проспекта до д. 7 Октябрьского проспекта</t>
  </si>
  <si>
    <t>ремонт АБП</t>
  </si>
  <si>
    <t>устройство спусков на пешеходном переходе напротив д.3</t>
  </si>
  <si>
    <t>устройство бортового камня на парковке напротив 3а и 3 б (у забора школы № 5)</t>
  </si>
  <si>
    <t>устройство и ремонт тротуаров от парковки напротив 3а и 3б (у забора школы № 5)</t>
  </si>
  <si>
    <t>ремонт газона между тротуарами у парковки напротив 3 а и 3б (у забора школы № 5)</t>
  </si>
  <si>
    <t>устройство спусков на пешеходных переходах вдоль всего ОДХ АБП</t>
  </si>
  <si>
    <t>устройство бортового камня на спусках у пешеходных переходов вдоль всего ОДХ</t>
  </si>
  <si>
    <t>демонтаж старого тротуара</t>
  </si>
  <si>
    <t>устройство нового тротуара в районе Октябрьский 1 корп.1</t>
  </si>
  <si>
    <t>устройство бортового камня на новом тротуаре Октябрьский 1 корп.1</t>
  </si>
  <si>
    <t>устройство спусков на пешеходных переходах вдоль всего ОДХ из плитки</t>
  </si>
  <si>
    <t>устройство ИДН (7 шт.)</t>
  </si>
  <si>
    <t>ремонт АБП парковочных карманов существующих и примыканий</t>
  </si>
  <si>
    <t>ул.Полковника милиции Курочкина</t>
  </si>
  <si>
    <t>устройство ИДН (2 шт.)</t>
  </si>
  <si>
    <t>ремонт парковок на проезжей части</t>
  </si>
  <si>
    <t>устройство спусков на пешеходном переходе напротив д.12</t>
  </si>
  <si>
    <t>ул.Дальняя</t>
  </si>
  <si>
    <t>устройство бортового камня</t>
  </si>
  <si>
    <t>устройство парковочных карманов</t>
  </si>
  <si>
    <t>ремонт и устройство тротуаров</t>
  </si>
  <si>
    <t>Тропиночная сеть в зоне отдыха "Заречье"</t>
  </si>
  <si>
    <t>расширение проезжей части</t>
  </si>
  <si>
    <t>куб.м.</t>
  </si>
  <si>
    <t>устройство экопарковок с щебеночным покрытием</t>
  </si>
  <si>
    <t>устройство тротуара</t>
  </si>
  <si>
    <t>устройство газона</t>
  </si>
  <si>
    <t>ул.Богородская</t>
  </si>
  <si>
    <t>ул.Большая Октябрьская-автокруг</t>
  </si>
  <si>
    <t>ремонт асфальтобетонного покрытия</t>
  </si>
  <si>
    <t>ул.Большая Октябрьская (2 участок)</t>
  </si>
  <si>
    <t>устройство водоотвода</t>
  </si>
  <si>
    <t>ул.Большая Октябрьская</t>
  </si>
  <si>
    <t>Итого по городскому округу Троицк</t>
  </si>
  <si>
    <t>МК 115</t>
  </si>
  <si>
    <t>ООО "Краснодар-Строй"</t>
  </si>
  <si>
    <t>Ремонт АБП</t>
  </si>
  <si>
    <t>Ремонт АБП площадки у бани со стороны ул.Юбилейная</t>
  </si>
  <si>
    <t xml:space="preserve">Устройство бордюра </t>
  </si>
  <si>
    <t>Устройство АБП</t>
  </si>
  <si>
    <t>Итого по МК 115</t>
  </si>
  <si>
    <t xml:space="preserve"> МК103</t>
  </si>
  <si>
    <t>Итого по МК 103</t>
  </si>
  <si>
    <t>МК 300/14</t>
  </si>
  <si>
    <t xml:space="preserve"> МК 279/14 </t>
  </si>
  <si>
    <t xml:space="preserve"> МК 102 </t>
  </si>
  <si>
    <t xml:space="preserve">МК 299/14 </t>
  </si>
  <si>
    <t>спуски</t>
  </si>
  <si>
    <t>ИДН</t>
  </si>
  <si>
    <t>МК 150</t>
  </si>
  <si>
    <t>Итого по МК 150</t>
  </si>
  <si>
    <t>МК 151</t>
  </si>
  <si>
    <t>Итого по МК 151</t>
  </si>
  <si>
    <t>демонтаж тротуара</t>
  </si>
  <si>
    <t>ремонт тротуара</t>
  </si>
  <si>
    <t>ООО "Горстрой"</t>
  </si>
  <si>
    <t>МК 153</t>
  </si>
  <si>
    <t>дорожки, тротуары</t>
  </si>
  <si>
    <t>ограждение</t>
  </si>
  <si>
    <t>установка стоек</t>
  </si>
  <si>
    <t>Итого по МК 153</t>
  </si>
  <si>
    <t>Итого по МК 299/14</t>
  </si>
  <si>
    <t xml:space="preserve">МК 361/14 </t>
  </si>
  <si>
    <t>раширение</t>
  </si>
  <si>
    <t>Итого по МК 147</t>
  </si>
  <si>
    <t xml:space="preserve"> МК 147</t>
  </si>
  <si>
    <t>Итого по МК 156</t>
  </si>
  <si>
    <t>МК 156</t>
  </si>
  <si>
    <t>водоотвод</t>
  </si>
  <si>
    <t>расширение</t>
  </si>
  <si>
    <t>парковка</t>
  </si>
  <si>
    <t>МК 149</t>
  </si>
  <si>
    <t>Итого по МК 149</t>
  </si>
  <si>
    <t>экопарковка</t>
  </si>
  <si>
    <t>Итого по МК 158</t>
  </si>
  <si>
    <t>Итого по МК 159</t>
  </si>
  <si>
    <t xml:space="preserve">Итого по муниципальной программе </t>
  </si>
  <si>
    <t>Объекты благоустройства г.о.Троицк</t>
  </si>
  <si>
    <t>Закупка черноземной земли для ремонта газонов</t>
  </si>
  <si>
    <t>т</t>
  </si>
  <si>
    <t>земля</t>
  </si>
  <si>
    <t>МК 288/14</t>
  </si>
  <si>
    <t>ООО "Радуга 8"</t>
  </si>
  <si>
    <t xml:space="preserve">МК 362/14 </t>
  </si>
  <si>
    <t>Перечень мероприятий</t>
  </si>
  <si>
    <t>МК 330/14</t>
  </si>
  <si>
    <t>ООО "Геодезические технологии"</t>
  </si>
  <si>
    <t>285/14</t>
  </si>
  <si>
    <t>ООО"ВегаГрупп"</t>
  </si>
  <si>
    <t>Лесная,5</t>
  </si>
  <si>
    <t>ОДХ</t>
  </si>
  <si>
    <t>Причины снижения затрат:</t>
  </si>
  <si>
    <t>Фактическая оплата, руб</t>
  </si>
  <si>
    <t>Технический надзор КГМ</t>
  </si>
  <si>
    <t>Всего по МК 138</t>
  </si>
  <si>
    <t>Итого по субсидии</t>
  </si>
  <si>
    <t>Титульный список благоустройства территории жилой застройки в г.о.Троицк в г.Москве в 2014г. за счет средств бюджета городского округа Троицк</t>
  </si>
  <si>
    <t>Единица измер.</t>
  </si>
  <si>
    <t>Количество</t>
  </si>
  <si>
    <t>Штрафы</t>
  </si>
  <si>
    <t>Ул. Текстильщиков</t>
  </si>
  <si>
    <t>Шт.</t>
  </si>
  <si>
    <t>не выпол-нялось</t>
  </si>
  <si>
    <t>Доп согл.</t>
  </si>
  <si>
    <t>Итого по Доп.согл. :</t>
  </si>
  <si>
    <t>Итого  МК 79:</t>
  </si>
  <si>
    <t>11 470,00</t>
  </si>
  <si>
    <t>план, руб.</t>
  </si>
  <si>
    <t>факт, руб.</t>
  </si>
  <si>
    <t>тротуары</t>
  </si>
  <si>
    <t>Детские площадки</t>
  </si>
  <si>
    <t xml:space="preserve"> минус места под деревьями</t>
  </si>
  <si>
    <t>качели весы 2-х секционные разделили на 2 площ-ки</t>
  </si>
  <si>
    <t>по фактич замерам</t>
  </si>
  <si>
    <t>В-9</t>
  </si>
  <si>
    <t>ЗУ</t>
  </si>
  <si>
    <t>Технадзор по благоустройству</t>
  </si>
  <si>
    <t>объект</t>
  </si>
  <si>
    <t>Технадзор по КГМ</t>
  </si>
  <si>
    <t>ИТОГО:</t>
  </si>
  <si>
    <t>бюджета городского округа Троицк</t>
  </si>
  <si>
    <t>нет</t>
  </si>
  <si>
    <t>Бетонное основание под плиточное покрытие Академическая пл,3</t>
  </si>
  <si>
    <t>Координатор:</t>
  </si>
  <si>
    <t>Ответственный исполнитель:</t>
  </si>
  <si>
    <t>детские пл-ки 7шт.</t>
  </si>
  <si>
    <t xml:space="preserve">навес на площадке для детских колясок </t>
  </si>
  <si>
    <t>резиновое покрытие детских площадок</t>
  </si>
  <si>
    <t>ограждение (h=500мм) площадок</t>
  </si>
  <si>
    <t>ограждение (h=500мм) газонов</t>
  </si>
  <si>
    <t>МК 266/14</t>
  </si>
  <si>
    <t>ООО " АВРАЛ"</t>
  </si>
  <si>
    <t>№0148300006813000152-0045601-01</t>
  </si>
  <si>
    <t>договор 274/15</t>
  </si>
  <si>
    <t>Благоустройство Академической пл.,3</t>
  </si>
  <si>
    <t>в т.ч. из бюджета г.о.Троицк</t>
  </si>
  <si>
    <t>субсидия бюджета г.Москвы</t>
  </si>
  <si>
    <t>пандус</t>
  </si>
  <si>
    <t>ВСЕГО</t>
  </si>
  <si>
    <t>Содержание лесопарковых зон</t>
  </si>
  <si>
    <t>Содержание внутриквартиальных проездов и тротуаров</t>
  </si>
  <si>
    <t>Содержание зон отдыха, парков, скверов</t>
  </si>
  <si>
    <t>Подпрограмма 2 «Ремонт объектов озеленения, внутриквартальных проездов и тротуаров,  прочих объектов благоустройства в городском округе Троицк»</t>
  </si>
  <si>
    <t>Подпрограмма 3 «Содержание внутриквартальных проездов и тротуаров в городском округе Троицк»</t>
  </si>
  <si>
    <t xml:space="preserve"> Подпрограмма 4 «Содержание зеленых насаждений в городском округе Троицк»</t>
  </si>
  <si>
    <t>Подпрограмма 5 «Содержание прочих объектов благоустройства в городском округе Троицк»</t>
  </si>
  <si>
    <t>Подпрограмма 1 «Благоустройство территории жилой застройки городского округа Троицк»</t>
  </si>
  <si>
    <t>Отлов и содержание безнадзорных и безхозяйных животных</t>
  </si>
  <si>
    <t>«Содержание и ремонт объектов благоустройства и озеленения в городском округе Троицк»</t>
  </si>
  <si>
    <t>Муниципальная программа «Содержание и ремонт объектов благоустройства и озеленения в городском округе Троицк»</t>
  </si>
  <si>
    <t>Иные работы, выполненные за счет средств бюджета г.о.Троицк</t>
  </si>
  <si>
    <t>средства субсидии из бюджета г.Москвы (в т.ч. от патентной системы налогооблажения), средства из бюджета г.о.Троицк</t>
  </si>
  <si>
    <t>901 0503 33А0202600 244 + 901 0503 33А0202600 611</t>
  </si>
  <si>
    <t>901 0503 33А0202100 244</t>
  </si>
  <si>
    <t>Содержание солитерных и групповых посадок зеленых насаждений(свободнорастущих деревьев и кустарников), цветников, газонов</t>
  </si>
  <si>
    <t>Содержание малых архитектурных форм, фонтанов, ограждений (металлические, кирпичные, бетонные), скамеек, урн и информационных стендов»</t>
  </si>
  <si>
    <t>901 0503 1150101000 611</t>
  </si>
  <si>
    <t>Всего</t>
  </si>
  <si>
    <t>в том числе по подпрограммам:</t>
  </si>
  <si>
    <t>901 0503 11102S2100 244</t>
  </si>
  <si>
    <t>901 0503 1110600000 244</t>
  </si>
  <si>
    <t>901 0503 1110506000 244</t>
  </si>
  <si>
    <t>Ремонт муниципальных тротуаров</t>
  </si>
  <si>
    <t>901 0503 1120000000 244</t>
  </si>
  <si>
    <t>901 0503 1130001000 611</t>
  </si>
  <si>
    <t>901 0503 1140101000 611 + 901 0503 1140200000 244</t>
  </si>
  <si>
    <t>901 0503 1140101000 611</t>
  </si>
  <si>
    <t>901 0503 1150302500 612 + 901 0503 1150301000 611</t>
  </si>
  <si>
    <t>1. Снижение стоимости работ по итогам проведения конкурсных процедур. Уменьшение объема работ.</t>
  </si>
  <si>
    <t>Содержание детских и спортивных площадок» (в части эксплуатации МБУ «ДХБ» - ремонт детских и спортивных площадок</t>
  </si>
  <si>
    <t xml:space="preserve">Содержание дворовых территорий </t>
  </si>
  <si>
    <t>901 05031150401000 611 
+ 901 0503 1150402010612 
+ 901 0503 1150402700 612
+901 0503 7740202000612</t>
  </si>
  <si>
    <t>____________________________________И.В. Вальков</t>
  </si>
  <si>
    <t>Финансовое управление:</t>
  </si>
  <si>
    <t>_______________________________________ /___________________/</t>
  </si>
  <si>
    <t>2. Экономия средств за счет фактчически меньшего объема выполненных работ (вывоз снега, применение ПГМ), объем фактически вывезенного мусора,  меньше планируемого при формировании МЗ, объем выполненных работ по техническому содержанию АБП меньше, чем планируемый объем, предусмотренный регламентом.</t>
  </si>
  <si>
    <t>901 0503 1140200000 611</t>
  </si>
  <si>
    <t>901 0503 11502S2600 611+ 901 0503 1150201000244 (611)</t>
  </si>
  <si>
    <t>За последний отчетный  2023 год</t>
  </si>
  <si>
    <t>Объем финансирования на 2023г. (тыс.руб.)</t>
  </si>
  <si>
    <t>___________________________________ Д.А. Панюшкин</t>
  </si>
  <si>
    <t>Дворовые территории, подлежащие ремонту в 2023г</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</si>
</sst>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charset val="204"/>
      <scheme val="minor"/>
    </font>
    <font>
      <b/>
      <sz val="11"/>
      <color theme="1"/>
      <name val="Calibri"/>
      <family val="2"/>
      <charset val="204"/>
      <scheme val="minor"/>
    </font>
    <font>
      <b/>
      <sz val="12"/>
      <color theme="1"/>
      <name val="Times New Roman"/>
      <family val="1"/>
      <charset val="204"/>
    </font>
    <font>
      <b/>
      <sz val="14"/>
      <color theme="1"/>
      <name val="Times New Roman"/>
      <family val="1"/>
      <charset val="204"/>
    </font>
    <font>
      <sz val="10"/>
      <name val="Arial Cyr"/>
      <charset val="204"/>
    </font>
    <font>
      <sz val="12"/>
      <color theme="1"/>
      <name val="Times New Roman"/>
      <family val="1"/>
      <charset val="204"/>
    </font>
    <font>
      <sz val="14"/>
      <color theme="1"/>
      <name val="Times New Roman"/>
      <family val="1"/>
      <charset val="204"/>
    </font>
    <font>
      <b/>
      <sz val="8"/>
      <color theme="1"/>
      <name val="Times New Roman"/>
      <family val="1"/>
      <charset val="204"/>
    </font>
    <font>
      <sz val="8"/>
      <color rgb="FF000000"/>
      <name val="Times New Roman"/>
      <family val="1"/>
      <charset val="204"/>
    </font>
    <font>
      <b/>
      <sz val="8"/>
      <color rgb="FF00000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scheme val="minor"/>
    </font>
    <font>
      <b/>
      <sz val="10"/>
      <color rgb="FF000000"/>
      <name val="Times New Roman"/>
      <family val="1"/>
      <charset val="204"/>
    </font>
    <font>
      <sz val="10"/>
      <color rgb="FF000000"/>
      <name val="Times New Roman"/>
      <family val="1"/>
      <charset val="204"/>
    </font>
    <font>
      <sz val="10"/>
      <color theme="1"/>
      <name val="Times New Roman"/>
      <family val="1"/>
      <charset val="204"/>
    </font>
    <font>
      <b/>
      <sz val="10"/>
      <color theme="1"/>
      <name val="Times New Roman"/>
      <family val="1"/>
      <charset val="204"/>
    </font>
    <font>
      <sz val="10"/>
      <color rgb="FF000000"/>
      <name val="Calibri"/>
      <family val="2"/>
      <charset val="204"/>
    </font>
    <font>
      <b/>
      <sz val="10"/>
      <color rgb="FF000000"/>
      <name val="Calibri"/>
      <family val="2"/>
      <charset val="204"/>
    </font>
    <font>
      <sz val="11"/>
      <color theme="1"/>
      <name val="Times New Roman"/>
      <family val="1"/>
      <charset val="204"/>
    </font>
    <font>
      <sz val="8"/>
      <color rgb="FF000000"/>
      <name val="Calibri"/>
      <family val="2"/>
      <charset val="204"/>
    </font>
    <font>
      <b/>
      <sz val="8"/>
      <color rgb="FF000000"/>
      <name val="Calibri"/>
      <family val="2"/>
      <charset val="204"/>
    </font>
    <font>
      <b/>
      <sz val="12"/>
      <color rgb="FFFF0000"/>
      <name val="Times New Roman"/>
      <family val="1"/>
      <charset val="204"/>
    </font>
    <font>
      <sz val="9"/>
      <color theme="1"/>
      <name val="Calibri"/>
      <family val="2"/>
      <charset val="204"/>
      <scheme val="minor"/>
    </font>
    <font>
      <sz val="12"/>
      <color rgb="FF000000"/>
      <name val="Times New Roman"/>
      <family val="1"/>
      <charset val="204"/>
    </font>
    <font>
      <b/>
      <sz val="12"/>
      <color rgb="FF000000"/>
      <name val="Times New Roman"/>
      <family val="1"/>
      <charset val="204"/>
    </font>
    <font>
      <sz val="9"/>
      <color rgb="FF000000"/>
      <name val="Times New Roman"/>
      <family val="1"/>
      <charset val="204"/>
    </font>
    <font>
      <b/>
      <sz val="10"/>
      <color theme="1"/>
      <name val="Calibri"/>
      <family val="2"/>
      <charset val="204"/>
      <scheme val="minor"/>
    </font>
    <font>
      <sz val="11"/>
      <color indexed="8"/>
      <name val="Calibri"/>
      <family val="2"/>
      <charset val="204"/>
    </font>
    <font>
      <sz val="12"/>
      <name val="Times New Roman"/>
      <family val="1"/>
      <charset val="204"/>
    </font>
    <font>
      <sz val="11"/>
      <color rgb="FF000000"/>
      <name val="Times New Roman"/>
      <family val="1"/>
      <charset val="204"/>
    </font>
    <font>
      <b/>
      <sz val="11"/>
      <color rgb="FF000000"/>
      <name val="Times New Roman"/>
      <family val="1"/>
      <charset val="204"/>
    </font>
    <font>
      <sz val="12"/>
      <color rgb="FFFF0000"/>
      <name val="Times New Roman"/>
      <family val="1"/>
      <charset val="204"/>
    </font>
    <font>
      <b/>
      <sz val="10"/>
      <color rgb="FFFF0000"/>
      <name val="Times New Roman"/>
      <family val="1"/>
      <charset val="204"/>
    </font>
    <font>
      <b/>
      <sz val="9"/>
      <color rgb="FF000000"/>
      <name val="Times New Roman"/>
      <family val="1"/>
      <charset val="204"/>
    </font>
    <font>
      <b/>
      <sz val="8"/>
      <name val="Times New Roman"/>
      <family val="1"/>
      <charset val="204"/>
    </font>
    <font>
      <b/>
      <sz val="7"/>
      <color rgb="FF000000"/>
      <name val="Times New Roman"/>
      <family val="1"/>
      <charset val="204"/>
    </font>
    <font>
      <b/>
      <sz val="11"/>
      <color theme="1"/>
      <name val="Times New Roman"/>
      <family val="1"/>
      <charset val="204"/>
    </font>
    <font>
      <b/>
      <i/>
      <u/>
      <sz val="11"/>
      <color theme="1"/>
      <name val="Times New Roman"/>
      <family val="1"/>
      <charset val="204"/>
    </font>
    <font>
      <b/>
      <i/>
      <sz val="11"/>
      <color theme="1"/>
      <name val="Times New Roman"/>
      <family val="1"/>
      <charset val="204"/>
    </font>
    <font>
      <b/>
      <u/>
      <sz val="11"/>
      <color theme="1"/>
      <name val="Times New Roman"/>
      <family val="1"/>
      <charset val="204"/>
    </font>
    <font>
      <sz val="11"/>
      <name val="Times New Roman"/>
      <family val="1"/>
      <charset val="204"/>
    </font>
    <font>
      <b/>
      <sz val="11"/>
      <name val="Times New Roman"/>
      <family val="1"/>
      <charset val="204"/>
    </font>
    <font>
      <i/>
      <sz val="11"/>
      <color theme="1"/>
      <name val="Times New Roman"/>
      <family val="1"/>
      <charset val="204"/>
    </font>
    <font>
      <sz val="11"/>
      <color rgb="FFFF0000"/>
      <name val="Calibri"/>
      <family val="2"/>
      <charset val="204"/>
      <scheme val="minor"/>
    </font>
    <font>
      <b/>
      <i/>
      <sz val="11"/>
      <name val="Times New Roman"/>
      <family val="1"/>
      <charset val="204"/>
    </font>
    <font>
      <b/>
      <sz val="12"/>
      <name val="Times New Roman"/>
      <family val="1"/>
      <charset val="204"/>
    </font>
    <font>
      <i/>
      <sz val="11"/>
      <name val="Times New Roman"/>
      <family val="1"/>
      <charset val="204"/>
    </font>
    <font>
      <i/>
      <sz val="10"/>
      <name val="Times New Roman"/>
      <family val="1"/>
      <charset val="204"/>
    </font>
    <font>
      <sz val="11"/>
      <color rgb="FFFF0000"/>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EFDA"/>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bottom style="medium">
        <color rgb="FF000000"/>
      </bottom>
      <diagonal/>
    </border>
    <border>
      <left style="medium">
        <color indexed="64"/>
      </left>
      <right/>
      <top style="medium">
        <color rgb="FF000000"/>
      </top>
      <bottom/>
      <diagonal/>
    </border>
    <border>
      <left/>
      <right style="thin">
        <color indexed="64"/>
      </right>
      <top style="thin">
        <color indexed="64"/>
      </top>
      <bottom style="thin">
        <color indexed="64"/>
      </bottom>
      <diagonal/>
    </border>
    <border>
      <left/>
      <right/>
      <top style="medium">
        <color indexed="64"/>
      </top>
      <bottom/>
      <diagonal/>
    </border>
    <border>
      <left style="medium">
        <color rgb="FF000000"/>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rgb="FF000000"/>
      </bottom>
      <diagonal/>
    </border>
    <border>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s>
  <cellStyleXfs count="5">
    <xf numFmtId="0" fontId="0" fillId="0" borderId="0"/>
    <xf numFmtId="0" fontId="4" fillId="0" borderId="0"/>
    <xf numFmtId="0" fontId="12" fillId="0" borderId="0"/>
    <xf numFmtId="0" fontId="28" fillId="0" borderId="0"/>
    <xf numFmtId="0" fontId="12" fillId="0" borderId="0"/>
  </cellStyleXfs>
  <cellXfs count="684">
    <xf numFmtId="0" fontId="0" fillId="0" borderId="0" xfId="0"/>
    <xf numFmtId="0" fontId="0" fillId="0" borderId="1" xfId="0" applyBorder="1" applyAlignment="1">
      <alignment horizontal="center"/>
    </xf>
    <xf numFmtId="0" fontId="0" fillId="0" borderId="1" xfId="0" applyBorder="1"/>
    <xf numFmtId="0" fontId="0" fillId="2" borderId="1" xfId="0" applyFill="1" applyBorder="1"/>
    <xf numFmtId="0" fontId="0" fillId="0" borderId="10" xfId="0" applyBorder="1"/>
    <xf numFmtId="4" fontId="0" fillId="0" borderId="1" xfId="0" applyNumberFormat="1" applyBorder="1"/>
    <xf numFmtId="0" fontId="0" fillId="0" borderId="12" xfId="0" applyBorder="1"/>
    <xf numFmtId="0" fontId="0" fillId="0" borderId="15" xfId="0" applyBorder="1"/>
    <xf numFmtId="4" fontId="0" fillId="0" borderId="0" xfId="0" applyNumberFormat="1"/>
    <xf numFmtId="4" fontId="0" fillId="0" borderId="15" xfId="0" applyNumberFormat="1" applyBorder="1"/>
    <xf numFmtId="0" fontId="0" fillId="0" borderId="5" xfId="0" applyBorder="1"/>
    <xf numFmtId="0" fontId="1" fillId="0" borderId="22" xfId="0" applyFont="1" applyBorder="1"/>
    <xf numFmtId="0" fontId="3"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indent="15"/>
    </xf>
    <xf numFmtId="0" fontId="6" fillId="0" borderId="0" xfId="0" applyFont="1" applyAlignment="1">
      <alignment horizontal="center" vertical="center"/>
    </xf>
    <xf numFmtId="0" fontId="2" fillId="0" borderId="0" xfId="0" applyFont="1" applyAlignment="1">
      <alignment horizontal="center" vertical="center"/>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7" fillId="2"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0" borderId="26" xfId="0" applyFont="1" applyBorder="1" applyAlignment="1">
      <alignment horizontal="center" vertical="center"/>
    </xf>
    <xf numFmtId="4" fontId="8" fillId="0" borderId="26" xfId="0" applyNumberFormat="1" applyFont="1" applyBorder="1" applyAlignment="1">
      <alignment horizontal="center" vertical="center"/>
    </xf>
    <xf numFmtId="4" fontId="9" fillId="0" borderId="26" xfId="0" applyNumberFormat="1" applyFont="1" applyBorder="1" applyAlignment="1">
      <alignment horizontal="center" vertical="center"/>
    </xf>
    <xf numFmtId="4" fontId="9" fillId="3" borderId="26" xfId="0" applyNumberFormat="1" applyFont="1" applyFill="1" applyBorder="1" applyAlignment="1">
      <alignment horizontal="center" vertical="center" wrapText="1"/>
    </xf>
    <xf numFmtId="4" fontId="8" fillId="0" borderId="26" xfId="0" applyNumberFormat="1" applyFont="1" applyBorder="1" applyAlignment="1">
      <alignment horizontal="center" vertical="center" wrapText="1"/>
    </xf>
    <xf numFmtId="0" fontId="8" fillId="3" borderId="27" xfId="0" applyFont="1" applyFill="1" applyBorder="1" applyAlignment="1">
      <alignment horizontal="center" vertical="center" wrapText="1"/>
    </xf>
    <xf numFmtId="0" fontId="8" fillId="3" borderId="30" xfId="0" applyFont="1" applyFill="1" applyBorder="1" applyAlignment="1">
      <alignment horizontal="center" vertical="center" wrapText="1"/>
    </xf>
    <xf numFmtId="4" fontId="8" fillId="0" borderId="30" xfId="0" applyNumberFormat="1" applyFont="1" applyBorder="1" applyAlignment="1">
      <alignment horizontal="center" vertical="center" wrapText="1"/>
    </xf>
    <xf numFmtId="4" fontId="9" fillId="0" borderId="26" xfId="0" applyNumberFormat="1" applyFont="1" applyBorder="1" applyAlignment="1">
      <alignment horizontal="center" vertical="center" wrapText="1"/>
    </xf>
    <xf numFmtId="0" fontId="8" fillId="3" borderId="0" xfId="0" applyFont="1" applyFill="1" applyAlignment="1">
      <alignment horizontal="center" vertical="center" wrapText="1"/>
    </xf>
    <xf numFmtId="0" fontId="11" fillId="0" borderId="1" xfId="0" applyFont="1" applyBorder="1" applyAlignment="1">
      <alignment wrapText="1"/>
    </xf>
    <xf numFmtId="0" fontId="10" fillId="3" borderId="16" xfId="0" applyFont="1" applyFill="1" applyBorder="1" applyAlignment="1">
      <alignment horizontal="center" vertical="center"/>
    </xf>
    <xf numFmtId="0" fontId="9" fillId="3" borderId="16" xfId="0" applyFont="1" applyFill="1" applyBorder="1" applyAlignment="1">
      <alignment horizontal="center" vertical="center" wrapText="1"/>
    </xf>
    <xf numFmtId="0" fontId="8" fillId="0" borderId="30" xfId="0" applyFont="1" applyBorder="1" applyAlignment="1">
      <alignment horizontal="center" vertical="center" wrapText="1"/>
    </xf>
    <xf numFmtId="4" fontId="9" fillId="3" borderId="30" xfId="0" applyNumberFormat="1" applyFont="1" applyFill="1" applyBorder="1" applyAlignment="1">
      <alignment horizontal="center" vertical="center" wrapText="1"/>
    </xf>
    <xf numFmtId="4" fontId="8" fillId="3" borderId="17"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1" xfId="0" applyFont="1" applyFill="1" applyBorder="1" applyAlignment="1">
      <alignment horizontal="center" vertical="center" wrapText="1"/>
    </xf>
    <xf numFmtId="0" fontId="8" fillId="3" borderId="20" xfId="0" applyFont="1" applyFill="1" applyBorder="1" applyAlignment="1">
      <alignment horizontal="center" vertical="center" wrapText="1"/>
    </xf>
    <xf numFmtId="4" fontId="8" fillId="0" borderId="24" xfId="0" applyNumberFormat="1" applyFont="1" applyBorder="1" applyAlignment="1">
      <alignment horizontal="center" vertical="center" wrapText="1"/>
    </xf>
    <xf numFmtId="0" fontId="9" fillId="2" borderId="21" xfId="0" applyFont="1" applyFill="1" applyBorder="1" applyAlignment="1">
      <alignment horizontal="center" vertical="center" wrapText="1"/>
    </xf>
    <xf numFmtId="4" fontId="9" fillId="0" borderId="21" xfId="0" applyNumberFormat="1" applyFont="1" applyBorder="1" applyAlignment="1">
      <alignment horizontal="center" vertical="center" wrapText="1"/>
    </xf>
    <xf numFmtId="4" fontId="9" fillId="2" borderId="21"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0" fillId="0" borderId="22" xfId="0" applyBorder="1"/>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24" xfId="0" applyFont="1" applyBorder="1" applyAlignment="1">
      <alignment horizontal="center" vertical="center" wrapText="1"/>
    </xf>
    <xf numFmtId="0" fontId="9" fillId="2" borderId="24" xfId="0" applyFont="1" applyFill="1" applyBorder="1" applyAlignment="1">
      <alignment horizontal="center" vertical="center" wrapText="1"/>
    </xf>
    <xf numFmtId="4" fontId="8" fillId="3" borderId="19" xfId="0" applyNumberFormat="1" applyFont="1" applyFill="1" applyBorder="1" applyAlignment="1">
      <alignment horizontal="center" vertical="center" wrapText="1"/>
    </xf>
    <xf numFmtId="4" fontId="9" fillId="3" borderId="26" xfId="0" applyNumberFormat="1" applyFont="1" applyFill="1" applyBorder="1" applyAlignment="1">
      <alignment horizontal="center" vertical="center"/>
    </xf>
    <xf numFmtId="0" fontId="8" fillId="0" borderId="30" xfId="0" applyFont="1" applyBorder="1" applyAlignment="1">
      <alignment horizontal="center" vertical="center"/>
    </xf>
    <xf numFmtId="4" fontId="8" fillId="0" borderId="30" xfId="0" applyNumberFormat="1" applyFont="1" applyBorder="1" applyAlignment="1">
      <alignment horizontal="center" vertical="center"/>
    </xf>
    <xf numFmtId="4" fontId="9" fillId="0" borderId="30" xfId="0" applyNumberFormat="1" applyFont="1" applyBorder="1" applyAlignment="1">
      <alignment horizontal="center" vertical="center"/>
    </xf>
    <xf numFmtId="4" fontId="9" fillId="0" borderId="30" xfId="0" applyNumberFormat="1" applyFont="1" applyBorder="1" applyAlignment="1">
      <alignment horizontal="center" vertical="center" wrapText="1"/>
    </xf>
    <xf numFmtId="0" fontId="8" fillId="0" borderId="0" xfId="0" applyFont="1" applyAlignment="1">
      <alignment horizontal="center" vertical="center" wrapText="1"/>
    </xf>
    <xf numFmtId="0" fontId="9" fillId="0" borderId="24" xfId="0" applyFont="1" applyBorder="1" applyAlignment="1">
      <alignment horizontal="center" vertical="center" wrapText="1"/>
    </xf>
    <xf numFmtId="0" fontId="9" fillId="0" borderId="21" xfId="0" applyFont="1" applyBorder="1" applyAlignment="1">
      <alignment horizontal="center" vertical="center"/>
    </xf>
    <xf numFmtId="0" fontId="9" fillId="0" borderId="21" xfId="0" applyFont="1" applyBorder="1" applyAlignment="1">
      <alignment horizontal="center" vertical="center" wrapText="1"/>
    </xf>
    <xf numFmtId="4" fontId="9" fillId="0" borderId="21" xfId="0" applyNumberFormat="1" applyFont="1" applyBorder="1" applyAlignment="1">
      <alignment horizontal="center" vertical="center"/>
    </xf>
    <xf numFmtId="0" fontId="9" fillId="0" borderId="20" xfId="0" applyFont="1" applyBorder="1" applyAlignment="1">
      <alignment horizontal="center" vertical="center" wrapText="1"/>
    </xf>
    <xf numFmtId="0" fontId="8" fillId="0" borderId="27" xfId="0" applyFont="1" applyBorder="1" applyAlignment="1">
      <alignment horizontal="center" vertical="center" wrapText="1"/>
    </xf>
    <xf numFmtId="4" fontId="9" fillId="2" borderId="26" xfId="0" applyNumberFormat="1" applyFont="1" applyFill="1" applyBorder="1" applyAlignment="1">
      <alignment horizontal="center" vertical="center"/>
    </xf>
    <xf numFmtId="4" fontId="9" fillId="2" borderId="26" xfId="0" applyNumberFormat="1" applyFont="1" applyFill="1" applyBorder="1" applyAlignment="1">
      <alignment horizontal="center" vertical="center" wrapText="1"/>
    </xf>
    <xf numFmtId="0" fontId="10" fillId="0" borderId="26" xfId="0" applyFont="1" applyBorder="1" applyAlignment="1">
      <alignment horizontal="center" vertical="center" wrapText="1"/>
    </xf>
    <xf numFmtId="4" fontId="7" fillId="0" borderId="26" xfId="0" applyNumberFormat="1"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4" fontId="7" fillId="0" borderId="0" xfId="0" applyNumberFormat="1" applyFont="1" applyAlignment="1">
      <alignment horizontal="center" vertical="center" wrapText="1"/>
    </xf>
    <xf numFmtId="4" fontId="10" fillId="0" borderId="0" xfId="0" applyNumberFormat="1" applyFont="1" applyAlignment="1">
      <alignment horizontal="center" vertical="center" wrapText="1"/>
    </xf>
    <xf numFmtId="0" fontId="8"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5" fillId="0" borderId="1" xfId="0" applyFont="1" applyBorder="1" applyAlignment="1">
      <alignment vertical="center"/>
    </xf>
    <xf numFmtId="0" fontId="0" fillId="0" borderId="9" xfId="0" applyBorder="1" applyAlignment="1">
      <alignment horizontal="center"/>
    </xf>
    <xf numFmtId="0" fontId="0" fillId="0" borderId="20" xfId="0" applyBorder="1"/>
    <xf numFmtId="0" fontId="0" fillId="0" borderId="21" xfId="0" applyBorder="1"/>
    <xf numFmtId="0" fontId="5" fillId="0" borderId="0" xfId="2" applyFont="1" applyAlignment="1">
      <alignment vertical="center"/>
    </xf>
    <xf numFmtId="0" fontId="12" fillId="0" borderId="0" xfId="2"/>
    <xf numFmtId="0" fontId="5" fillId="0" borderId="0" xfId="2" applyFont="1" applyAlignment="1">
      <alignment horizontal="center" vertical="center"/>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26" xfId="2" applyFont="1" applyBorder="1" applyAlignment="1">
      <alignment horizontal="justify" vertical="center" wrapText="1"/>
    </xf>
    <xf numFmtId="0" fontId="14" fillId="0" borderId="26" xfId="2" applyFont="1" applyBorder="1" applyAlignment="1">
      <alignment vertical="center"/>
    </xf>
    <xf numFmtId="0" fontId="14" fillId="0" borderId="26" xfId="2" applyFont="1" applyBorder="1" applyAlignment="1">
      <alignment horizontal="center" vertical="center"/>
    </xf>
    <xf numFmtId="4" fontId="14" fillId="0" borderId="26" xfId="2" applyNumberFormat="1" applyFont="1" applyBorder="1" applyAlignment="1">
      <alignment horizontal="center" vertical="center"/>
    </xf>
    <xf numFmtId="4" fontId="14" fillId="0" borderId="26" xfId="2" applyNumberFormat="1" applyFont="1" applyBorder="1" applyAlignment="1">
      <alignment horizontal="center" vertical="center" wrapText="1"/>
    </xf>
    <xf numFmtId="0" fontId="15" fillId="0" borderId="28" xfId="2" applyFont="1" applyBorder="1" applyAlignment="1">
      <alignment vertical="center" wrapText="1"/>
    </xf>
    <xf numFmtId="0" fontId="15" fillId="0" borderId="16" xfId="2" applyFont="1" applyBorder="1" applyAlignment="1">
      <alignment vertical="center" wrapText="1"/>
    </xf>
    <xf numFmtId="0" fontId="14" fillId="0" borderId="26" xfId="2" applyFont="1" applyBorder="1" applyAlignment="1">
      <alignment vertical="center" wrapText="1"/>
    </xf>
    <xf numFmtId="0" fontId="14" fillId="2" borderId="26" xfId="2" applyFont="1" applyFill="1" applyBorder="1" applyAlignment="1">
      <alignment vertical="center" wrapText="1"/>
    </xf>
    <xf numFmtId="4" fontId="13" fillId="0" borderId="26" xfId="2" applyNumberFormat="1" applyFont="1" applyBorder="1" applyAlignment="1">
      <alignment horizontal="center" vertical="center" wrapText="1"/>
    </xf>
    <xf numFmtId="0" fontId="12" fillId="0" borderId="26" xfId="2" applyBorder="1" applyAlignment="1">
      <alignment horizontal="center" vertical="center" wrapText="1"/>
    </xf>
    <xf numFmtId="0" fontId="12" fillId="0" borderId="16" xfId="2" applyBorder="1" applyAlignment="1">
      <alignment horizontal="center" vertical="center" wrapText="1"/>
    </xf>
    <xf numFmtId="0" fontId="14" fillId="0" borderId="26" xfId="2" applyFont="1" applyBorder="1" applyAlignment="1">
      <alignment horizontal="left" vertical="center"/>
    </xf>
    <xf numFmtId="0" fontId="13" fillId="0" borderId="26" xfId="2" applyFont="1" applyBorder="1" applyAlignment="1">
      <alignment horizontal="center" vertical="center" wrapText="1"/>
    </xf>
    <xf numFmtId="0" fontId="15" fillId="0" borderId="36" xfId="2" applyFont="1" applyBorder="1" applyAlignment="1">
      <alignment vertical="center" wrapText="1"/>
    </xf>
    <xf numFmtId="0" fontId="12" fillId="0" borderId="38" xfId="2" applyBorder="1"/>
    <xf numFmtId="0" fontId="14" fillId="0" borderId="27" xfId="2" applyFont="1" applyBorder="1" applyAlignment="1">
      <alignment horizontal="center" vertical="center" wrapText="1"/>
    </xf>
    <xf numFmtId="0" fontId="15" fillId="0" borderId="10" xfId="2" applyFont="1" applyBorder="1" applyAlignment="1">
      <alignment vertical="center" wrapText="1"/>
    </xf>
    <xf numFmtId="0" fontId="15" fillId="0" borderId="11" xfId="2" applyFont="1" applyBorder="1" applyAlignment="1">
      <alignment vertical="center" wrapText="1"/>
    </xf>
    <xf numFmtId="0" fontId="14" fillId="0" borderId="0" xfId="2" applyFont="1" applyAlignment="1">
      <alignment horizontal="center" vertical="center" wrapText="1"/>
    </xf>
    <xf numFmtId="0" fontId="15" fillId="0" borderId="12" xfId="2" applyFont="1" applyBorder="1" applyAlignment="1">
      <alignment vertical="center" wrapText="1"/>
    </xf>
    <xf numFmtId="0" fontId="15" fillId="0" borderId="14" xfId="2" applyFont="1" applyBorder="1" applyAlignment="1">
      <alignment vertical="center" wrapText="1"/>
    </xf>
    <xf numFmtId="0" fontId="13" fillId="0" borderId="19" xfId="2" applyFont="1" applyBorder="1" applyAlignment="1">
      <alignment horizontal="center" vertical="center" wrapText="1"/>
    </xf>
    <xf numFmtId="0" fontId="15" fillId="0" borderId="15" xfId="2" applyFont="1" applyBorder="1" applyAlignment="1">
      <alignment vertical="center" wrapText="1"/>
    </xf>
    <xf numFmtId="0" fontId="12" fillId="0" borderId="22" xfId="2" applyBorder="1"/>
    <xf numFmtId="0" fontId="0" fillId="0" borderId="1" xfId="0" applyBorder="1" applyAlignment="1">
      <alignment wrapText="1"/>
    </xf>
    <xf numFmtId="0" fontId="8" fillId="0" borderId="25" xfId="0" applyFont="1" applyBorder="1" applyAlignment="1">
      <alignment horizontal="center" vertical="center" wrapText="1"/>
    </xf>
    <xf numFmtId="0" fontId="14" fillId="0" borderId="26" xfId="0" applyFont="1" applyBorder="1" applyAlignment="1">
      <alignment vertical="center"/>
    </xf>
    <xf numFmtId="0" fontId="14" fillId="0" borderId="26" xfId="0" applyFont="1" applyBorder="1" applyAlignment="1">
      <alignment vertical="center" wrapText="1"/>
    </xf>
    <xf numFmtId="0" fontId="14" fillId="0" borderId="30" xfId="0" applyFont="1" applyBorder="1" applyAlignment="1">
      <alignment vertical="center"/>
    </xf>
    <xf numFmtId="0" fontId="14" fillId="0" borderId="30" xfId="0" applyFont="1" applyBorder="1" applyAlignment="1">
      <alignment vertical="center" wrapText="1"/>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12" xfId="0" applyFont="1" applyBorder="1" applyAlignment="1">
      <alignment vertical="center"/>
    </xf>
    <xf numFmtId="4" fontId="14" fillId="0" borderId="26" xfId="0" applyNumberFormat="1" applyFont="1" applyBorder="1" applyAlignment="1">
      <alignment vertical="center"/>
    </xf>
    <xf numFmtId="0" fontId="16" fillId="0" borderId="26" xfId="0" applyFont="1" applyBorder="1" applyAlignment="1">
      <alignment horizontal="center" vertical="center" textRotation="90"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 xfId="0" applyFont="1" applyBorder="1" applyAlignment="1">
      <alignment horizontal="center" vertical="center"/>
    </xf>
    <xf numFmtId="0" fontId="15" fillId="0" borderId="26" xfId="0" applyFont="1" applyBorder="1" applyAlignment="1">
      <alignment horizontal="justify" vertical="center" wrapText="1"/>
    </xf>
    <xf numFmtId="4" fontId="14" fillId="0" borderId="26" xfId="0" applyNumberFormat="1" applyFont="1" applyBorder="1" applyAlignment="1">
      <alignment horizontal="center" vertical="center"/>
    </xf>
    <xf numFmtId="0" fontId="0" fillId="0" borderId="1" xfId="0" applyBorder="1" applyAlignment="1">
      <alignment vertical="center" wrapText="1"/>
    </xf>
    <xf numFmtId="0" fontId="15" fillId="0" borderId="30" xfId="0" applyFont="1" applyBorder="1" applyAlignment="1">
      <alignment horizontal="justify" vertical="center" wrapText="1"/>
    </xf>
    <xf numFmtId="4" fontId="14" fillId="0" borderId="30" xfId="0" applyNumberFormat="1" applyFont="1" applyBorder="1" applyAlignment="1">
      <alignment horizontal="center" vertical="center"/>
    </xf>
    <xf numFmtId="0" fontId="14" fillId="0" borderId="24" xfId="0" applyFont="1" applyBorder="1" applyAlignment="1">
      <alignment horizontal="justify" vertical="center" wrapText="1"/>
    </xf>
    <xf numFmtId="0" fontId="14" fillId="0" borderId="24" xfId="0" applyFont="1" applyBorder="1" applyAlignment="1">
      <alignment horizontal="justify" vertical="center"/>
    </xf>
    <xf numFmtId="4" fontId="14" fillId="0" borderId="24" xfId="0" applyNumberFormat="1" applyFont="1" applyBorder="1" applyAlignment="1">
      <alignment horizontal="justify" vertical="center"/>
    </xf>
    <xf numFmtId="0" fontId="15" fillId="0" borderId="21" xfId="0" applyFont="1" applyBorder="1" applyAlignment="1">
      <alignment horizontal="justify" vertical="center" wrapText="1"/>
    </xf>
    <xf numFmtId="4" fontId="14" fillId="0" borderId="20" xfId="0" applyNumberFormat="1" applyFont="1" applyBorder="1" applyAlignment="1">
      <alignment horizontal="center" vertical="center"/>
    </xf>
    <xf numFmtId="0" fontId="15" fillId="0" borderId="24" xfId="0" applyFont="1" applyBorder="1" applyAlignment="1">
      <alignment horizontal="justify" vertical="center" wrapText="1"/>
    </xf>
    <xf numFmtId="0" fontId="14" fillId="0" borderId="26" xfId="0" applyFont="1" applyBorder="1" applyAlignment="1">
      <alignment horizontal="justify" vertical="center" wrapText="1"/>
    </xf>
    <xf numFmtId="4" fontId="14" fillId="0" borderId="27"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14" fillId="0" borderId="25" xfId="0" applyFont="1" applyBorder="1" applyAlignment="1">
      <alignment horizontal="justify" vertical="center" wrapText="1"/>
    </xf>
    <xf numFmtId="0" fontId="14" fillId="0" borderId="26" xfId="0" applyFont="1" applyBorder="1" applyAlignment="1">
      <alignment horizontal="justify" vertical="center"/>
    </xf>
    <xf numFmtId="4" fontId="14" fillId="0" borderId="26" xfId="0" applyNumberFormat="1" applyFont="1" applyBorder="1" applyAlignment="1">
      <alignment horizontal="justify" vertical="center"/>
    </xf>
    <xf numFmtId="0" fontId="15" fillId="0" borderId="26" xfId="0" applyFont="1" applyBorder="1" applyAlignment="1">
      <alignment horizontal="justify" vertical="center"/>
    </xf>
    <xf numFmtId="4" fontId="14" fillId="0" borderId="26" xfId="0" applyNumberFormat="1" applyFont="1" applyBorder="1" applyAlignment="1">
      <alignment horizontal="center" vertical="center" wrapText="1"/>
    </xf>
    <xf numFmtId="0" fontId="15" fillId="0" borderId="38" xfId="0" applyFont="1" applyBorder="1" applyAlignment="1">
      <alignment horizontal="justify" vertical="center" wrapText="1"/>
    </xf>
    <xf numFmtId="4" fontId="14" fillId="0" borderId="30" xfId="0" applyNumberFormat="1" applyFont="1" applyBorder="1" applyAlignment="1">
      <alignment horizontal="center" vertical="center" wrapText="1"/>
    </xf>
    <xf numFmtId="0" fontId="14" fillId="0" borderId="21" xfId="0" applyFont="1" applyBorder="1" applyAlignment="1">
      <alignment horizontal="justify" vertical="center"/>
    </xf>
    <xf numFmtId="4" fontId="14" fillId="0" borderId="21" xfId="0" applyNumberFormat="1" applyFont="1" applyBorder="1" applyAlignment="1">
      <alignment horizontal="justify" vertical="center"/>
    </xf>
    <xf numFmtId="4" fontId="14" fillId="0" borderId="15" xfId="0" applyNumberFormat="1" applyFont="1" applyBorder="1" applyAlignment="1">
      <alignment horizontal="center" vertical="center"/>
    </xf>
    <xf numFmtId="0" fontId="14" fillId="0" borderId="25" xfId="0" applyFont="1" applyBorder="1" applyAlignment="1">
      <alignment horizontal="justify" vertical="center"/>
    </xf>
    <xf numFmtId="4" fontId="14" fillId="0" borderId="27" xfId="0" applyNumberFormat="1" applyFont="1" applyBorder="1" applyAlignment="1">
      <alignment horizontal="justify" vertical="center"/>
    </xf>
    <xf numFmtId="0" fontId="14" fillId="0" borderId="16" xfId="0" applyFont="1" applyBorder="1" applyAlignment="1">
      <alignment horizontal="justify" vertical="center"/>
    </xf>
    <xf numFmtId="0" fontId="14" fillId="0" borderId="30" xfId="0" applyFont="1" applyBorder="1" applyAlignment="1">
      <alignment horizontal="justify" vertical="center"/>
    </xf>
    <xf numFmtId="4" fontId="14" fillId="0" borderId="30" xfId="0" applyNumberFormat="1" applyFont="1" applyBorder="1" applyAlignment="1">
      <alignment horizontal="justify" vertical="center"/>
    </xf>
    <xf numFmtId="4" fontId="14" fillId="0" borderId="0" xfId="0" applyNumberFormat="1" applyFont="1" applyAlignment="1">
      <alignment horizontal="center" vertical="center"/>
    </xf>
    <xf numFmtId="0" fontId="13" fillId="0" borderId="21" xfId="0" applyFont="1" applyBorder="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wrapText="1"/>
    </xf>
    <xf numFmtId="0" fontId="13" fillId="0" borderId="0" xfId="0" applyFont="1" applyAlignment="1">
      <alignment horizontal="justify" vertical="center"/>
    </xf>
    <xf numFmtId="0" fontId="14" fillId="0" borderId="0" xfId="0" applyFont="1" applyAlignment="1">
      <alignment horizontal="justify" vertical="center"/>
    </xf>
    <xf numFmtId="4" fontId="14" fillId="0" borderId="0" xfId="0" applyNumberFormat="1" applyFont="1" applyAlignment="1">
      <alignment horizontal="justify" vertical="center"/>
    </xf>
    <xf numFmtId="4" fontId="13" fillId="0" borderId="0" xfId="0" applyNumberFormat="1" applyFont="1" applyAlignment="1">
      <alignment horizontal="justify" vertical="center"/>
    </xf>
    <xf numFmtId="0" fontId="7" fillId="0" borderId="26"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30" xfId="0" applyFont="1" applyBorder="1" applyAlignment="1">
      <alignment horizontal="center" vertical="center" wrapText="1"/>
    </xf>
    <xf numFmtId="0" fontId="7" fillId="0" borderId="38" xfId="0" applyFont="1" applyBorder="1" applyAlignment="1">
      <alignment horizontal="center" vertical="center" wrapText="1"/>
    </xf>
    <xf numFmtId="4" fontId="10" fillId="0" borderId="26" xfId="0" applyNumberFormat="1" applyFont="1" applyBorder="1" applyAlignment="1">
      <alignment horizontal="center" vertical="center" wrapText="1"/>
    </xf>
    <xf numFmtId="4" fontId="7" fillId="0" borderId="27" xfId="0" applyNumberFormat="1" applyFont="1" applyBorder="1" applyAlignment="1">
      <alignment horizontal="center" vertical="center" wrapText="1"/>
    </xf>
    <xf numFmtId="0" fontId="19" fillId="0" borderId="13" xfId="0" applyFont="1" applyBorder="1"/>
    <xf numFmtId="0" fontId="8" fillId="0" borderId="28" xfId="0" applyFont="1" applyBorder="1" applyAlignment="1">
      <alignment horizontal="center" vertical="center" wrapText="1"/>
    </xf>
    <xf numFmtId="0" fontId="8" fillId="0" borderId="38" xfId="0" applyFont="1" applyBorder="1" applyAlignment="1">
      <alignment horizontal="center" vertical="center"/>
    </xf>
    <xf numFmtId="4" fontId="8" fillId="0" borderId="38" xfId="0" applyNumberFormat="1" applyFont="1" applyBorder="1" applyAlignment="1">
      <alignment horizontal="center" vertical="center"/>
    </xf>
    <xf numFmtId="0" fontId="10" fillId="0" borderId="30" xfId="0" applyFont="1" applyBorder="1" applyAlignment="1">
      <alignment horizontal="center" vertical="center" wrapText="1"/>
    </xf>
    <xf numFmtId="4" fontId="10" fillId="0" borderId="30" xfId="0" applyNumberFormat="1" applyFont="1" applyBorder="1" applyAlignment="1">
      <alignment horizontal="center" vertical="center" wrapText="1"/>
    </xf>
    <xf numFmtId="0" fontId="8" fillId="0" borderId="21" xfId="0" applyFont="1" applyBorder="1" applyAlignment="1">
      <alignment horizontal="center" vertical="center"/>
    </xf>
    <xf numFmtId="4" fontId="8" fillId="0" borderId="21" xfId="0" applyNumberFormat="1" applyFont="1" applyBorder="1" applyAlignment="1">
      <alignment horizontal="center" vertical="center"/>
    </xf>
    <xf numFmtId="0" fontId="10" fillId="0" borderId="21" xfId="0" applyFont="1" applyBorder="1" applyAlignment="1">
      <alignment horizontal="center" vertical="center" wrapText="1"/>
    </xf>
    <xf numFmtId="4" fontId="10" fillId="0" borderId="21" xfId="0" applyNumberFormat="1" applyFont="1" applyBorder="1" applyAlignment="1">
      <alignment horizontal="center" vertical="center" wrapText="1"/>
    </xf>
    <xf numFmtId="4" fontId="7" fillId="0" borderId="21" xfId="0" applyNumberFormat="1" applyFont="1" applyBorder="1" applyAlignment="1">
      <alignment horizontal="center" vertical="center" wrapText="1"/>
    </xf>
    <xf numFmtId="4" fontId="7" fillId="0" borderId="20" xfId="0" applyNumberFormat="1" applyFont="1" applyBorder="1" applyAlignment="1">
      <alignment horizontal="center" vertical="center" wrapText="1"/>
    </xf>
    <xf numFmtId="0" fontId="19" fillId="0" borderId="1" xfId="0" applyFont="1" applyBorder="1" applyAlignment="1">
      <alignment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1" fillId="0" borderId="26" xfId="0" applyFont="1" applyBorder="1" applyAlignment="1">
      <alignment horizontal="center" vertical="center" wrapText="1"/>
    </xf>
    <xf numFmtId="4" fontId="9" fillId="2" borderId="27" xfId="0" applyNumberFormat="1" applyFont="1" applyFill="1" applyBorder="1" applyAlignment="1">
      <alignment horizontal="center" vertical="center"/>
    </xf>
    <xf numFmtId="0" fontId="0" fillId="2" borderId="5" xfId="0" applyFill="1" applyBorder="1"/>
    <xf numFmtId="0" fontId="19" fillId="0" borderId="5" xfId="0" applyFont="1" applyBorder="1"/>
    <xf numFmtId="0" fontId="19" fillId="0" borderId="7" xfId="0" applyFont="1" applyBorder="1"/>
    <xf numFmtId="0" fontId="15" fillId="0" borderId="0" xfId="0" applyFont="1" applyAlignment="1">
      <alignment vertical="center" wrapText="1"/>
    </xf>
    <xf numFmtId="0" fontId="15" fillId="0" borderId="0" xfId="0" applyFont="1"/>
    <xf numFmtId="0" fontId="14" fillId="0" borderId="25" xfId="0" applyFont="1" applyBorder="1" applyAlignment="1">
      <alignment vertical="center"/>
    </xf>
    <xf numFmtId="4" fontId="14" fillId="0" borderId="30" xfId="0" applyNumberFormat="1" applyFont="1" applyBorder="1" applyAlignment="1">
      <alignment vertical="center"/>
    </xf>
    <xf numFmtId="0" fontId="0" fillId="0" borderId="9" xfId="0" applyBorder="1" applyAlignment="1">
      <alignment vertical="center" wrapText="1"/>
    </xf>
    <xf numFmtId="4" fontId="13" fillId="0" borderId="24" xfId="0" applyNumberFormat="1" applyFont="1" applyBorder="1" applyAlignment="1">
      <alignment vertical="center"/>
    </xf>
    <xf numFmtId="4" fontId="13" fillId="0" borderId="26" xfId="0" applyNumberFormat="1" applyFont="1" applyBorder="1" applyAlignment="1">
      <alignment vertical="center"/>
    </xf>
    <xf numFmtId="0" fontId="14" fillId="0" borderId="15" xfId="0" applyFont="1" applyBorder="1" applyAlignment="1">
      <alignment vertical="center"/>
    </xf>
    <xf numFmtId="0" fontId="0" fillId="0" borderId="15" xfId="0" applyBorder="1" applyAlignment="1">
      <alignment vertical="center" wrapText="1"/>
    </xf>
    <xf numFmtId="0" fontId="0" fillId="0" borderId="22" xfId="0" applyBorder="1" applyAlignment="1">
      <alignment vertical="center" wrapText="1"/>
    </xf>
    <xf numFmtId="0" fontId="14" fillId="0" borderId="10" xfId="0" applyFont="1" applyBorder="1" applyAlignment="1">
      <alignment vertical="center"/>
    </xf>
    <xf numFmtId="3" fontId="14" fillId="0" borderId="26" xfId="0" applyNumberFormat="1" applyFont="1" applyBorder="1" applyAlignment="1">
      <alignment vertical="center"/>
    </xf>
    <xf numFmtId="0" fontId="14" fillId="0" borderId="16" xfId="0" applyFont="1" applyBorder="1" applyAlignment="1">
      <alignment vertical="center"/>
    </xf>
    <xf numFmtId="0" fontId="0" fillId="0" borderId="12" xfId="0" applyBorder="1" applyAlignment="1">
      <alignment wrapText="1"/>
    </xf>
    <xf numFmtId="0" fontId="14" fillId="0" borderId="27" xfId="0" applyFont="1" applyBorder="1" applyAlignment="1">
      <alignment vertical="center"/>
    </xf>
    <xf numFmtId="0" fontId="14" fillId="0" borderId="0" xfId="0" applyFont="1" applyAlignment="1">
      <alignment vertical="center"/>
    </xf>
    <xf numFmtId="0" fontId="13" fillId="0" borderId="24" xfId="0" applyFont="1" applyBorder="1" applyAlignment="1">
      <alignment horizontal="justify" vertical="center"/>
    </xf>
    <xf numFmtId="0" fontId="15" fillId="0" borderId="21" xfId="0" applyFont="1" applyBorder="1" applyAlignment="1">
      <alignment vertical="top"/>
    </xf>
    <xf numFmtId="4" fontId="13" fillId="2" borderId="21" xfId="0" applyNumberFormat="1" applyFont="1" applyFill="1" applyBorder="1" applyAlignment="1">
      <alignment horizontal="justify" vertical="center"/>
    </xf>
    <xf numFmtId="4" fontId="14" fillId="0" borderId="0" xfId="0" applyNumberFormat="1" applyFont="1" applyAlignment="1">
      <alignment vertical="center"/>
    </xf>
    <xf numFmtId="4" fontId="14" fillId="2" borderId="26" xfId="0" applyNumberFormat="1" applyFont="1" applyFill="1" applyBorder="1" applyAlignment="1">
      <alignment horizontal="center" vertical="center"/>
    </xf>
    <xf numFmtId="4" fontId="14" fillId="2" borderId="21" xfId="0" applyNumberFormat="1" applyFont="1" applyFill="1" applyBorder="1" applyAlignment="1">
      <alignment horizontal="center" vertical="center"/>
    </xf>
    <xf numFmtId="4" fontId="14" fillId="2" borderId="21"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1" fillId="0" borderId="0" xfId="0" applyNumberFormat="1" applyFont="1"/>
    <xf numFmtId="4" fontId="12" fillId="0" borderId="0" xfId="2" applyNumberFormat="1"/>
    <xf numFmtId="0" fontId="19" fillId="0" borderId="42" xfId="0" applyFont="1" applyBorder="1" applyAlignment="1">
      <alignment vertical="center" wrapText="1"/>
    </xf>
    <xf numFmtId="0" fontId="19" fillId="0" borderId="11" xfId="0" applyFont="1" applyBorder="1" applyAlignment="1">
      <alignment vertical="center" wrapText="1"/>
    </xf>
    <xf numFmtId="0" fontId="0" fillId="0" borderId="43" xfId="0" applyBorder="1" applyAlignment="1">
      <alignment vertical="center" wrapText="1"/>
    </xf>
    <xf numFmtId="0" fontId="0" fillId="0" borderId="3" xfId="0" applyBorder="1" applyAlignment="1">
      <alignment vertical="center" wrapText="1"/>
    </xf>
    <xf numFmtId="0" fontId="14" fillId="2" borderId="26" xfId="0" applyFont="1" applyFill="1" applyBorder="1" applyAlignment="1">
      <alignment vertical="center" wrapText="1"/>
    </xf>
    <xf numFmtId="0" fontId="17" fillId="0" borderId="25" xfId="0" applyFont="1" applyBorder="1" applyAlignment="1">
      <alignment horizontal="justify" vertical="center"/>
    </xf>
    <xf numFmtId="0" fontId="17" fillId="0" borderId="26" xfId="0" applyFont="1" applyBorder="1" applyAlignment="1">
      <alignment horizontal="justify" vertical="center"/>
    </xf>
    <xf numFmtId="0" fontId="18" fillId="0" borderId="26" xfId="0" applyFont="1" applyBorder="1" applyAlignment="1">
      <alignment horizontal="justify" vertical="center" wrapText="1"/>
    </xf>
    <xf numFmtId="0" fontId="13" fillId="0" borderId="26" xfId="0" applyFont="1" applyBorder="1" applyAlignment="1">
      <alignment horizontal="justify" vertical="center"/>
    </xf>
    <xf numFmtId="4" fontId="13" fillId="2" borderId="27" xfId="0" applyNumberFormat="1" applyFont="1" applyFill="1" applyBorder="1" applyAlignment="1">
      <alignment horizontal="justify" vertical="center"/>
    </xf>
    <xf numFmtId="4" fontId="13" fillId="2" borderId="6" xfId="0" applyNumberFormat="1" applyFont="1" applyFill="1" applyBorder="1" applyAlignment="1">
      <alignment horizontal="justify" vertical="center"/>
    </xf>
    <xf numFmtId="0" fontId="0" fillId="0" borderId="6" xfId="0" applyBorder="1"/>
    <xf numFmtId="0" fontId="0" fillId="0" borderId="41" xfId="0" applyBorder="1"/>
    <xf numFmtId="0" fontId="14" fillId="0" borderId="1" xfId="0" applyFont="1" applyBorder="1" applyAlignment="1">
      <alignment horizontal="justify" vertical="center"/>
    </xf>
    <xf numFmtId="4" fontId="14" fillId="0" borderId="1" xfId="0" applyNumberFormat="1" applyFont="1" applyBorder="1" applyAlignment="1">
      <alignment horizontal="justify" vertical="center"/>
    </xf>
    <xf numFmtId="0" fontId="14" fillId="0" borderId="1" xfId="2" applyFont="1" applyBorder="1" applyAlignment="1">
      <alignment vertical="center" wrapText="1"/>
    </xf>
    <xf numFmtId="0" fontId="15" fillId="0" borderId="1" xfId="0" applyFont="1" applyBorder="1" applyAlignment="1">
      <alignment horizontal="justify" vertical="center" wrapText="1"/>
    </xf>
    <xf numFmtId="0" fontId="0" fillId="2" borderId="1" xfId="0" applyFill="1" applyBorder="1" applyAlignment="1">
      <alignment vertical="center" wrapText="1"/>
    </xf>
    <xf numFmtId="0" fontId="0" fillId="0" borderId="9" xfId="0" applyBorder="1"/>
    <xf numFmtId="0" fontId="0" fillId="0" borderId="43" xfId="0" applyBorder="1"/>
    <xf numFmtId="0" fontId="19" fillId="0" borderId="12" xfId="0" applyFont="1" applyBorder="1" applyAlignment="1">
      <alignment wrapText="1"/>
    </xf>
    <xf numFmtId="0" fontId="19" fillId="0" borderId="14" xfId="0" applyFont="1" applyBorder="1"/>
    <xf numFmtId="4" fontId="14" fillId="4" borderId="26" xfId="0" applyNumberFormat="1" applyFont="1" applyFill="1" applyBorder="1" applyAlignment="1">
      <alignment vertical="center"/>
    </xf>
    <xf numFmtId="0" fontId="14" fillId="0" borderId="9" xfId="0" applyFont="1" applyBorder="1" applyAlignment="1">
      <alignment vertical="center"/>
    </xf>
    <xf numFmtId="4" fontId="7" fillId="0" borderId="1" xfId="0" applyNumberFormat="1" applyFont="1" applyBorder="1" applyAlignment="1">
      <alignment horizontal="center" vertical="center" wrapText="1"/>
    </xf>
    <xf numFmtId="4" fontId="13" fillId="0" borderId="26" xfId="0" applyNumberFormat="1" applyFont="1" applyBorder="1" applyAlignment="1">
      <alignment horizontal="justify" vertical="center"/>
    </xf>
    <xf numFmtId="0" fontId="14" fillId="4" borderId="26" xfId="2" applyFont="1" applyFill="1" applyBorder="1" applyAlignment="1">
      <alignment horizontal="center" vertical="center" wrapText="1"/>
    </xf>
    <xf numFmtId="0" fontId="14" fillId="4" borderId="26" xfId="2" applyFont="1" applyFill="1" applyBorder="1" applyAlignment="1">
      <alignment horizontal="center" vertical="center"/>
    </xf>
    <xf numFmtId="4" fontId="14" fillId="4" borderId="1" xfId="0" applyNumberFormat="1" applyFont="1" applyFill="1" applyBorder="1" applyAlignment="1">
      <alignment horizontal="center" vertical="center"/>
    </xf>
    <xf numFmtId="0" fontId="7" fillId="0" borderId="21" xfId="0" applyFont="1" applyBorder="1" applyAlignment="1">
      <alignment horizontal="center" vertical="center" textRotation="90" wrapText="1"/>
    </xf>
    <xf numFmtId="0" fontId="5" fillId="0" borderId="0" xfId="0" applyFont="1" applyAlignment="1">
      <alignment vertical="center" wrapText="1"/>
    </xf>
    <xf numFmtId="0" fontId="10" fillId="0" borderId="26" xfId="0" applyFont="1" applyBorder="1" applyAlignment="1">
      <alignment vertical="center" wrapText="1"/>
    </xf>
    <xf numFmtId="4" fontId="10"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8" fillId="0" borderId="26" xfId="0" applyFont="1" applyBorder="1" applyAlignment="1">
      <alignment vertical="center" wrapText="1"/>
    </xf>
    <xf numFmtId="0" fontId="8" fillId="0" borderId="26" xfId="0" applyFont="1" applyBorder="1" applyAlignment="1">
      <alignment horizontal="justify" vertical="center" wrapText="1"/>
    </xf>
    <xf numFmtId="0" fontId="10" fillId="3" borderId="26" xfId="0" applyFont="1" applyFill="1" applyBorder="1" applyAlignment="1">
      <alignment vertical="center" wrapText="1"/>
    </xf>
    <xf numFmtId="0" fontId="10" fillId="3" borderId="26" xfId="0" applyFont="1" applyFill="1" applyBorder="1" applyAlignment="1">
      <alignment horizontal="center" vertical="center"/>
    </xf>
    <xf numFmtId="0" fontId="10" fillId="3" borderId="26" xfId="0" applyFont="1" applyFill="1" applyBorder="1" applyAlignment="1">
      <alignment horizontal="center" vertical="center" wrapText="1"/>
    </xf>
    <xf numFmtId="0" fontId="7" fillId="3" borderId="26" xfId="0" applyFont="1" applyFill="1" applyBorder="1" applyAlignment="1">
      <alignment horizontal="center" vertical="center"/>
    </xf>
    <xf numFmtId="4" fontId="7" fillId="3" borderId="26" xfId="0" applyNumberFormat="1" applyFont="1" applyFill="1" applyBorder="1" applyAlignment="1">
      <alignment horizontal="center" vertical="center"/>
    </xf>
    <xf numFmtId="0" fontId="9" fillId="4" borderId="26" xfId="0" applyFont="1" applyFill="1" applyBorder="1" applyAlignment="1">
      <alignment horizontal="center" vertical="center"/>
    </xf>
    <xf numFmtId="0" fontId="15" fillId="0" borderId="26"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15" fillId="0" borderId="25" xfId="0" applyFont="1" applyBorder="1" applyAlignment="1">
      <alignment horizontal="center" vertical="center" wrapText="1"/>
    </xf>
    <xf numFmtId="0" fontId="15" fillId="0" borderId="26" xfId="0" applyFont="1" applyBorder="1" applyAlignment="1">
      <alignment vertical="center" wrapText="1"/>
    </xf>
    <xf numFmtId="0" fontId="15" fillId="3" borderId="26" xfId="0" applyFont="1" applyFill="1" applyBorder="1" applyAlignment="1">
      <alignment vertical="center" wrapText="1"/>
    </xf>
    <xf numFmtId="0" fontId="16" fillId="3" borderId="25" xfId="0" applyFont="1" applyFill="1" applyBorder="1" applyAlignment="1">
      <alignment vertical="center"/>
    </xf>
    <xf numFmtId="0" fontId="16" fillId="3" borderId="26" xfId="0" applyFont="1" applyFill="1" applyBorder="1" applyAlignment="1">
      <alignment vertical="center"/>
    </xf>
    <xf numFmtId="4" fontId="7" fillId="4" borderId="26" xfId="0" applyNumberFormat="1" applyFont="1" applyFill="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right" vertical="center" indent="15"/>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2" fillId="0" borderId="30" xfId="2" applyBorder="1" applyAlignment="1">
      <alignment horizontal="center" vertical="center" wrapText="1"/>
    </xf>
    <xf numFmtId="0" fontId="14" fillId="0" borderId="0" xfId="2" applyFont="1" applyAlignment="1">
      <alignment horizontal="left" vertical="center"/>
    </xf>
    <xf numFmtId="0" fontId="13" fillId="2" borderId="26" xfId="2" applyFont="1" applyFill="1" applyBorder="1" applyAlignment="1">
      <alignment horizontal="center" vertical="center" wrapText="1"/>
    </xf>
    <xf numFmtId="0" fontId="14" fillId="0" borderId="16" xfId="2" applyFont="1" applyBorder="1" applyAlignment="1">
      <alignment horizontal="center" vertical="center" wrapText="1"/>
    </xf>
    <xf numFmtId="0" fontId="14" fillId="0" borderId="30" xfId="2" applyFont="1" applyBorder="1" applyAlignment="1">
      <alignment horizontal="center" vertical="center" wrapText="1"/>
    </xf>
    <xf numFmtId="0" fontId="14" fillId="2" borderId="30" xfId="2" applyFont="1" applyFill="1" applyBorder="1" applyAlignment="1">
      <alignment vertical="center" wrapText="1"/>
    </xf>
    <xf numFmtId="4" fontId="13" fillId="0" borderId="30" xfId="2" applyNumberFormat="1" applyFont="1" applyBorder="1" applyAlignment="1">
      <alignment horizontal="center" vertical="center" wrapText="1"/>
    </xf>
    <xf numFmtId="0" fontId="13" fillId="0" borderId="30" xfId="2" applyFont="1" applyBorder="1" applyAlignment="1">
      <alignment horizontal="center" vertical="center" wrapText="1"/>
    </xf>
    <xf numFmtId="0" fontId="5" fillId="0" borderId="1" xfId="2" applyFont="1" applyBorder="1" applyAlignment="1">
      <alignment vertical="center"/>
    </xf>
    <xf numFmtId="0" fontId="12" fillId="0" borderId="1" xfId="2" applyBorder="1"/>
    <xf numFmtId="0" fontId="13" fillId="2" borderId="1" xfId="2" applyFont="1" applyFill="1" applyBorder="1" applyAlignment="1">
      <alignment horizontal="center" vertical="center" wrapText="1"/>
    </xf>
    <xf numFmtId="0" fontId="7" fillId="3" borderId="26" xfId="0" applyFont="1" applyFill="1" applyBorder="1" applyAlignment="1">
      <alignment horizontal="center" vertical="center" wrapText="1"/>
    </xf>
    <xf numFmtId="0" fontId="10" fillId="3" borderId="25" xfId="0" applyFont="1" applyFill="1" applyBorder="1" applyAlignment="1">
      <alignment vertical="center" wrapText="1"/>
    </xf>
    <xf numFmtId="0" fontId="9" fillId="3" borderId="26" xfId="0" applyFont="1" applyFill="1" applyBorder="1" applyAlignment="1">
      <alignment horizontal="center" vertical="center" wrapText="1"/>
    </xf>
    <xf numFmtId="0" fontId="2" fillId="0" borderId="0" xfId="0" applyFont="1" applyAlignment="1">
      <alignment horizontal="left" vertical="center"/>
    </xf>
    <xf numFmtId="4" fontId="8" fillId="3" borderId="25" xfId="0" applyNumberFormat="1" applyFont="1" applyFill="1" applyBorder="1" applyAlignment="1">
      <alignment horizontal="center" vertical="center" wrapText="1"/>
    </xf>
    <xf numFmtId="0" fontId="1" fillId="0" borderId="1" xfId="0" applyFont="1" applyBorder="1"/>
    <xf numFmtId="4" fontId="13" fillId="2" borderId="1" xfId="2" applyNumberFormat="1" applyFont="1" applyFill="1" applyBorder="1" applyAlignment="1">
      <alignment horizontal="center" vertical="center" wrapText="1"/>
    </xf>
    <xf numFmtId="4" fontId="1" fillId="0" borderId="1" xfId="0" applyNumberFormat="1" applyFont="1" applyBorder="1"/>
    <xf numFmtId="0" fontId="5" fillId="0" borderId="1" xfId="0" applyFont="1" applyBorder="1" applyAlignment="1">
      <alignment horizontal="center" vertical="center"/>
    </xf>
    <xf numFmtId="0" fontId="24" fillId="0" borderId="1" xfId="0" applyFont="1" applyBorder="1" applyAlignment="1">
      <alignment vertical="center" wrapText="1"/>
    </xf>
    <xf numFmtId="4" fontId="5"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0" fontId="26" fillId="0" borderId="1" xfId="0" applyFont="1" applyBorder="1" applyAlignment="1">
      <alignment vertical="center" wrapText="1"/>
    </xf>
    <xf numFmtId="4" fontId="5" fillId="2" borderId="1"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24" fillId="0" borderId="1" xfId="0" applyFont="1" applyBorder="1" applyAlignment="1">
      <alignment horizontal="justify" vertical="center"/>
    </xf>
    <xf numFmtId="0" fontId="26" fillId="0" borderId="1" xfId="0" applyFont="1" applyBorder="1" applyAlignment="1">
      <alignment horizontal="justify"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4" fontId="13" fillId="2" borderId="1" xfId="0" applyNumberFormat="1" applyFont="1" applyFill="1" applyBorder="1" applyAlignment="1">
      <alignment horizontal="center" vertical="center"/>
    </xf>
    <xf numFmtId="4" fontId="24" fillId="4" borderId="1" xfId="0" applyNumberFormat="1" applyFont="1" applyFill="1" applyBorder="1" applyAlignment="1">
      <alignment horizontal="center" vertical="center"/>
    </xf>
    <xf numFmtId="4" fontId="24" fillId="2" borderId="1" xfId="0" applyNumberFormat="1" applyFont="1" applyFill="1" applyBorder="1" applyAlignment="1">
      <alignment horizontal="center" vertical="center"/>
    </xf>
    <xf numFmtId="4" fontId="24" fillId="0" borderId="1" xfId="0" applyNumberFormat="1" applyFont="1" applyBorder="1" applyAlignment="1">
      <alignment horizontal="center" vertical="center" wrapText="1"/>
    </xf>
    <xf numFmtId="4" fontId="24" fillId="2" borderId="1" xfId="0" applyNumberFormat="1" applyFont="1" applyFill="1" applyBorder="1" applyAlignment="1">
      <alignment horizontal="center" vertical="center" wrapText="1"/>
    </xf>
    <xf numFmtId="0" fontId="24" fillId="0" borderId="1" xfId="0" applyFont="1" applyBorder="1" applyAlignment="1">
      <alignment vertical="center"/>
    </xf>
    <xf numFmtId="0" fontId="24" fillId="2" borderId="1" xfId="0" applyFont="1" applyFill="1" applyBorder="1" applyAlignment="1">
      <alignment horizontal="center" vertical="center"/>
    </xf>
    <xf numFmtId="4" fontId="14" fillId="2" borderId="1" xfId="0" applyNumberFormat="1" applyFont="1" applyFill="1" applyBorder="1" applyAlignment="1">
      <alignment horizontal="center" vertical="center"/>
    </xf>
    <xf numFmtId="0" fontId="27" fillId="0" borderId="1" xfId="0" applyFont="1" applyBorder="1"/>
    <xf numFmtId="4" fontId="24" fillId="0" borderId="1" xfId="0" applyNumberFormat="1" applyFont="1" applyBorder="1" applyAlignment="1">
      <alignment horizontal="center" vertical="center"/>
    </xf>
    <xf numFmtId="4" fontId="0" fillId="0" borderId="9" xfId="0" applyNumberFormat="1" applyBorder="1" applyAlignment="1">
      <alignment horizontal="center"/>
    </xf>
    <xf numFmtId="4" fontId="16" fillId="0" borderId="0" xfId="0" applyNumberFormat="1" applyFont="1" applyAlignment="1">
      <alignment vertical="center" wrapText="1"/>
    </xf>
    <xf numFmtId="4" fontId="7" fillId="2" borderId="26" xfId="0" applyNumberFormat="1" applyFont="1" applyFill="1" applyBorder="1" applyAlignment="1">
      <alignment horizontal="center" vertical="center"/>
    </xf>
    <xf numFmtId="0" fontId="24" fillId="4" borderId="1" xfId="0" applyFont="1" applyFill="1" applyBorder="1" applyAlignment="1">
      <alignment vertical="center" wrapText="1"/>
    </xf>
    <xf numFmtId="4" fontId="32" fillId="2" borderId="1" xfId="0" applyNumberFormat="1" applyFont="1" applyFill="1" applyBorder="1" applyAlignment="1">
      <alignment horizontal="center" vertical="center" wrapText="1"/>
    </xf>
    <xf numFmtId="4" fontId="33" fillId="0" borderId="1" xfId="0" applyNumberFormat="1" applyFont="1" applyBorder="1" applyAlignment="1">
      <alignment horizontal="center" vertical="center"/>
    </xf>
    <xf numFmtId="4" fontId="32" fillId="2" borderId="1" xfId="0" applyNumberFormat="1" applyFont="1" applyFill="1" applyBorder="1" applyAlignment="1">
      <alignment horizontal="center" vertical="center"/>
    </xf>
    <xf numFmtId="0" fontId="24" fillId="2" borderId="1" xfId="0" applyFont="1" applyFill="1" applyBorder="1" applyAlignment="1">
      <alignment horizontal="justify" vertical="center"/>
    </xf>
    <xf numFmtId="0" fontId="8" fillId="3" borderId="2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5" xfId="0" applyFont="1" applyFill="1" applyBorder="1" applyAlignment="1">
      <alignment horizontal="center" vertical="center" wrapText="1"/>
    </xf>
    <xf numFmtId="4" fontId="8" fillId="0" borderId="16" xfId="0" applyNumberFormat="1" applyFont="1" applyBorder="1" applyAlignment="1">
      <alignment horizontal="center" vertical="center"/>
    </xf>
    <xf numFmtId="0" fontId="8" fillId="3" borderId="3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32" xfId="0" applyFont="1" applyBorder="1" applyAlignment="1">
      <alignment horizontal="center" vertical="center" wrapText="1"/>
    </xf>
    <xf numFmtId="4" fontId="8" fillId="3" borderId="16" xfId="0" applyNumberFormat="1" applyFont="1" applyFill="1" applyBorder="1" applyAlignment="1">
      <alignment horizontal="center" vertical="center" wrapText="1"/>
    </xf>
    <xf numFmtId="4" fontId="8" fillId="0" borderId="16" xfId="0" applyNumberFormat="1" applyFont="1" applyBorder="1" applyAlignment="1">
      <alignment horizontal="center" vertical="center" wrapText="1"/>
    </xf>
    <xf numFmtId="0" fontId="8" fillId="3" borderId="16" xfId="0" applyFont="1" applyFill="1" applyBorder="1" applyAlignment="1">
      <alignment horizontal="center" vertical="center"/>
    </xf>
    <xf numFmtId="0" fontId="10" fillId="3" borderId="28"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7" fillId="0" borderId="20" xfId="0" applyFont="1" applyBorder="1" applyAlignment="1">
      <alignment horizontal="center" vertical="center" wrapText="1"/>
    </xf>
    <xf numFmtId="0" fontId="16" fillId="5" borderId="26" xfId="0" applyFont="1" applyFill="1" applyBorder="1" applyAlignment="1">
      <alignment horizontal="center" vertical="center" textRotation="90" wrapText="1"/>
    </xf>
    <xf numFmtId="4" fontId="14" fillId="5" borderId="20" xfId="0" applyNumberFormat="1" applyFont="1" applyFill="1" applyBorder="1" applyAlignment="1">
      <alignment horizontal="center" vertical="center"/>
    </xf>
    <xf numFmtId="4" fontId="7" fillId="5" borderId="20" xfId="0"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4" borderId="26" xfId="0" applyFont="1" applyFill="1" applyBorder="1" applyAlignment="1">
      <alignment horizontal="center" vertical="center" wrapText="1"/>
    </xf>
    <xf numFmtId="4" fontId="8" fillId="4" borderId="26" xfId="0" applyNumberFormat="1" applyFont="1" applyFill="1" applyBorder="1" applyAlignment="1">
      <alignment horizontal="center" vertical="center" wrapText="1"/>
    </xf>
    <xf numFmtId="0" fontId="8" fillId="4" borderId="26" xfId="0" applyFont="1" applyFill="1" applyBorder="1" applyAlignment="1">
      <alignment horizontal="center" vertical="center"/>
    </xf>
    <xf numFmtId="4" fontId="8" fillId="4" borderId="26" xfId="0" applyNumberFormat="1" applyFont="1" applyFill="1" applyBorder="1" applyAlignment="1">
      <alignment horizontal="center" vertical="center"/>
    </xf>
    <xf numFmtId="4" fontId="35" fillId="2" borderId="26"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5" borderId="26" xfId="0" applyFont="1" applyFill="1" applyBorder="1" applyAlignment="1">
      <alignment horizontal="center" vertical="center" wrapText="1"/>
    </xf>
    <xf numFmtId="4" fontId="9" fillId="2" borderId="30" xfId="0" applyNumberFormat="1" applyFont="1" applyFill="1" applyBorder="1" applyAlignment="1">
      <alignment horizontal="center" vertical="center" wrapText="1"/>
    </xf>
    <xf numFmtId="4" fontId="36" fillId="3" borderId="16" xfId="0" applyNumberFormat="1" applyFont="1" applyFill="1" applyBorder="1" applyAlignment="1">
      <alignment horizontal="center" vertical="center" wrapText="1"/>
    </xf>
    <xf numFmtId="4" fontId="9" fillId="3" borderId="16" xfId="0" applyNumberFormat="1" applyFont="1" applyFill="1" applyBorder="1" applyAlignment="1">
      <alignment horizontal="center" vertical="center" wrapText="1"/>
    </xf>
    <xf numFmtId="4" fontId="0" fillId="4" borderId="15" xfId="0" applyNumberFormat="1" applyFill="1" applyBorder="1"/>
    <xf numFmtId="0" fontId="8" fillId="4" borderId="27" xfId="0" applyFont="1" applyFill="1" applyBorder="1" applyAlignment="1">
      <alignment horizontal="center" vertical="center" wrapText="1"/>
    </xf>
    <xf numFmtId="0" fontId="8" fillId="4" borderId="30" xfId="0" applyFont="1" applyFill="1" applyBorder="1" applyAlignment="1">
      <alignment horizontal="center" vertical="center" wrapText="1"/>
    </xf>
    <xf numFmtId="4" fontId="8" fillId="4" borderId="30"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4" fontId="7" fillId="4" borderId="21" xfId="0" applyNumberFormat="1" applyFont="1" applyFill="1" applyBorder="1" applyAlignment="1">
      <alignment horizontal="center" vertical="center" wrapText="1"/>
    </xf>
    <xf numFmtId="4" fontId="7" fillId="2" borderId="21" xfId="0" applyNumberFormat="1"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7" fillId="2" borderId="20" xfId="0" applyFont="1" applyFill="1" applyBorder="1" applyAlignment="1">
      <alignment horizontal="center" vertical="center" wrapText="1"/>
    </xf>
    <xf numFmtId="0" fontId="7" fillId="3" borderId="24" xfId="0" applyFont="1" applyFill="1" applyBorder="1" applyAlignment="1">
      <alignment horizontal="center" vertical="center" textRotation="90" wrapText="1"/>
    </xf>
    <xf numFmtId="0" fontId="7" fillId="3" borderId="21" xfId="0" applyFont="1" applyFill="1" applyBorder="1" applyAlignment="1">
      <alignment horizontal="center" vertical="center" textRotation="90" wrapText="1"/>
    </xf>
    <xf numFmtId="0" fontId="7" fillId="3" borderId="25" xfId="0" applyFont="1" applyFill="1" applyBorder="1" applyAlignment="1">
      <alignment horizontal="center" vertical="center" wrapText="1"/>
    </xf>
    <xf numFmtId="0" fontId="7" fillId="3" borderId="27" xfId="0" applyFont="1" applyFill="1" applyBorder="1" applyAlignment="1">
      <alignment horizontal="center" vertical="center" wrapText="1"/>
    </xf>
    <xf numFmtId="4" fontId="10" fillId="3" borderId="26" xfId="0" applyNumberFormat="1" applyFont="1" applyFill="1" applyBorder="1" applyAlignment="1">
      <alignment horizontal="center" vertical="center" wrapText="1"/>
    </xf>
    <xf numFmtId="2" fontId="10" fillId="3" borderId="26" xfId="0" applyNumberFormat="1" applyFont="1" applyFill="1" applyBorder="1" applyAlignment="1">
      <alignment horizontal="center" vertical="center" wrapText="1"/>
    </xf>
    <xf numFmtId="0" fontId="10" fillId="3" borderId="30" xfId="0" applyFont="1" applyFill="1" applyBorder="1" applyAlignment="1">
      <alignment horizontal="center" vertical="center" wrapText="1"/>
    </xf>
    <xf numFmtId="4" fontId="10" fillId="3" borderId="30" xfId="0" applyNumberFormat="1" applyFont="1" applyFill="1" applyBorder="1" applyAlignment="1">
      <alignment horizontal="center" vertical="center" wrapText="1"/>
    </xf>
    <xf numFmtId="0" fontId="9" fillId="2" borderId="26" xfId="0" applyFont="1" applyFill="1" applyBorder="1" applyAlignment="1">
      <alignment horizontal="center" vertical="center" wrapText="1"/>
    </xf>
    <xf numFmtId="4" fontId="7" fillId="2" borderId="26" xfId="0" applyNumberFormat="1" applyFont="1" applyFill="1" applyBorder="1" applyAlignment="1">
      <alignment horizontal="center" vertical="center" wrapText="1"/>
    </xf>
    <xf numFmtId="4" fontId="7" fillId="4"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4" fontId="7" fillId="3" borderId="30" xfId="0" applyNumberFormat="1" applyFont="1" applyFill="1" applyBorder="1" applyAlignment="1">
      <alignment horizontal="center" vertical="center" wrapText="1"/>
    </xf>
    <xf numFmtId="0" fontId="11" fillId="0" borderId="1" xfId="0" applyFont="1" applyBorder="1" applyAlignment="1">
      <alignment horizontal="center"/>
    </xf>
    <xf numFmtId="0" fontId="11" fillId="0" borderId="35" xfId="0" applyFont="1" applyBorder="1" applyAlignment="1">
      <alignment horizontal="center"/>
    </xf>
    <xf numFmtId="0" fontId="10" fillId="3" borderId="0" xfId="0" applyFont="1" applyFill="1" applyAlignment="1">
      <alignment horizontal="center" vertical="center" wrapText="1"/>
    </xf>
    <xf numFmtId="0" fontId="0" fillId="0" borderId="0" xfId="0" applyAlignment="1">
      <alignment horizontal="center"/>
    </xf>
    <xf numFmtId="0" fontId="11" fillId="0" borderId="9" xfId="0" applyFont="1" applyBorder="1" applyAlignment="1">
      <alignment wrapText="1"/>
    </xf>
    <xf numFmtId="0" fontId="11" fillId="0" borderId="9" xfId="0" applyFont="1" applyBorder="1" applyAlignment="1">
      <alignment horizontal="center"/>
    </xf>
    <xf numFmtId="0" fontId="1" fillId="0" borderId="0" xfId="0" applyFont="1"/>
    <xf numFmtId="0" fontId="19" fillId="0" borderId="0" xfId="0" applyFont="1"/>
    <xf numFmtId="4" fontId="8" fillId="0" borderId="21" xfId="0" applyNumberFormat="1" applyFont="1" applyBorder="1" applyAlignment="1">
      <alignment horizontal="center" vertical="center" wrapText="1"/>
    </xf>
    <xf numFmtId="0" fontId="11" fillId="2" borderId="1" xfId="0" applyFont="1" applyFill="1" applyBorder="1" applyAlignment="1">
      <alignment wrapText="1"/>
    </xf>
    <xf numFmtId="4" fontId="7" fillId="3" borderId="26" xfId="0" applyNumberFormat="1" applyFont="1" applyFill="1" applyBorder="1" applyAlignment="1">
      <alignment horizontal="center" vertical="center" wrapText="1"/>
    </xf>
    <xf numFmtId="4" fontId="0" fillId="0" borderId="12" xfId="0" applyNumberFormat="1" applyBorder="1"/>
    <xf numFmtId="4" fontId="7" fillId="2" borderId="20" xfId="0" applyNumberFormat="1" applyFont="1" applyFill="1" applyBorder="1" applyAlignment="1">
      <alignment horizontal="center" vertical="center" wrapText="1"/>
    </xf>
    <xf numFmtId="4" fontId="14" fillId="5" borderId="27" xfId="0" applyNumberFormat="1" applyFont="1" applyFill="1" applyBorder="1" applyAlignment="1">
      <alignment horizontal="center" vertical="center"/>
    </xf>
    <xf numFmtId="4" fontId="14" fillId="5" borderId="26" xfId="0" applyNumberFormat="1" applyFont="1" applyFill="1" applyBorder="1" applyAlignment="1">
      <alignment horizontal="center" vertical="center"/>
    </xf>
    <xf numFmtId="4" fontId="0" fillId="0" borderId="22" xfId="0" applyNumberFormat="1" applyBorder="1"/>
    <xf numFmtId="0" fontId="11" fillId="2" borderId="9" xfId="0" applyFont="1" applyFill="1" applyBorder="1" applyAlignment="1">
      <alignment wrapText="1"/>
    </xf>
    <xf numFmtId="2" fontId="0" fillId="0" borderId="0" xfId="0" applyNumberFormat="1"/>
    <xf numFmtId="2" fontId="7" fillId="3" borderId="26" xfId="0" applyNumberFormat="1" applyFont="1" applyFill="1" applyBorder="1" applyAlignment="1">
      <alignment horizontal="center" vertical="center" wrapText="1"/>
    </xf>
    <xf numFmtId="2" fontId="0" fillId="0" borderId="1" xfId="0" applyNumberFormat="1" applyBorder="1"/>
    <xf numFmtId="4" fontId="11" fillId="0" borderId="35" xfId="0" applyNumberFormat="1" applyFont="1" applyBorder="1" applyAlignment="1">
      <alignment horizontal="center"/>
    </xf>
    <xf numFmtId="0" fontId="10" fillId="0" borderId="1" xfId="0" applyFont="1" applyBorder="1" applyAlignment="1">
      <alignment horizontal="center" vertical="center" wrapText="1"/>
    </xf>
    <xf numFmtId="4" fontId="23" fillId="0" borderId="1" xfId="0" applyNumberFormat="1" applyFont="1" applyBorder="1"/>
    <xf numFmtId="0" fontId="23" fillId="0" borderId="0" xfId="0" applyFont="1" applyAlignment="1">
      <alignment horizontal="center" wrapText="1"/>
    </xf>
    <xf numFmtId="0" fontId="23" fillId="0" borderId="0" xfId="0" applyFont="1" applyAlignment="1">
      <alignment wrapText="1"/>
    </xf>
    <xf numFmtId="4" fontId="0" fillId="0" borderId="0" xfId="0" applyNumberFormat="1" applyAlignment="1">
      <alignment horizontal="center"/>
    </xf>
    <xf numFmtId="0" fontId="11" fillId="0" borderId="40" xfId="0" applyFont="1" applyBorder="1" applyAlignment="1">
      <alignment horizontal="center"/>
    </xf>
    <xf numFmtId="4" fontId="11" fillId="0" borderId="0" xfId="0" applyNumberFormat="1" applyFont="1" applyAlignment="1">
      <alignment horizontal="center"/>
    </xf>
    <xf numFmtId="0" fontId="11" fillId="0" borderId="1" xfId="0" applyFont="1" applyBorder="1" applyAlignment="1">
      <alignment horizontal="center" wrapText="1"/>
    </xf>
    <xf numFmtId="4" fontId="0" fillId="5" borderId="0" xfId="0" applyNumberFormat="1" applyFill="1"/>
    <xf numFmtId="4" fontId="11" fillId="5" borderId="0" xfId="0" applyNumberFormat="1" applyFont="1" applyFill="1"/>
    <xf numFmtId="4" fontId="14" fillId="5" borderId="0" xfId="0" applyNumberFormat="1" applyFont="1" applyFill="1" applyAlignment="1">
      <alignment vertical="center"/>
    </xf>
    <xf numFmtId="4" fontId="34" fillId="5" borderId="1" xfId="0" applyNumberFormat="1" applyFont="1" applyFill="1" applyBorder="1" applyAlignment="1">
      <alignment vertical="center" wrapText="1"/>
    </xf>
    <xf numFmtId="4" fontId="19" fillId="0" borderId="1" xfId="0" applyNumberFormat="1" applyFont="1" applyBorder="1" applyAlignment="1">
      <alignment horizontal="center" vertical="top"/>
    </xf>
    <xf numFmtId="0" fontId="19" fillId="0" borderId="0" xfId="0" applyFont="1" applyAlignment="1">
      <alignment vertical="top"/>
    </xf>
    <xf numFmtId="0" fontId="38" fillId="0" borderId="1" xfId="0" applyFont="1" applyBorder="1" applyAlignment="1">
      <alignment horizontal="left" vertical="top" wrapText="1"/>
    </xf>
    <xf numFmtId="0" fontId="19" fillId="0" borderId="0" xfId="0" applyFont="1" applyAlignment="1">
      <alignment horizontal="center" vertical="top"/>
    </xf>
    <xf numFmtId="0" fontId="40" fillId="0" borderId="1" xfId="0" applyFont="1" applyBorder="1" applyAlignment="1">
      <alignment horizontal="left" vertical="top" wrapText="1"/>
    </xf>
    <xf numFmtId="4" fontId="19" fillId="0" borderId="0" xfId="0" applyNumberFormat="1" applyFont="1" applyAlignment="1">
      <alignment horizontal="center" vertical="top"/>
    </xf>
    <xf numFmtId="0" fontId="19" fillId="0" borderId="0" xfId="0" applyFont="1" applyAlignment="1">
      <alignment horizontal="left" vertical="top" wrapText="1"/>
    </xf>
    <xf numFmtId="0" fontId="0" fillId="0" borderId="0" xfId="0" applyAlignment="1">
      <alignment vertical="top"/>
    </xf>
    <xf numFmtId="0" fontId="19"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left" vertical="center" wrapText="1"/>
    </xf>
    <xf numFmtId="0" fontId="19" fillId="0" borderId="47" xfId="0" applyFont="1" applyBorder="1" applyAlignment="1">
      <alignment horizontal="center" vertical="top"/>
    </xf>
    <xf numFmtId="0" fontId="44" fillId="0" borderId="0" xfId="0" applyFont="1" applyAlignment="1">
      <alignment vertical="top"/>
    </xf>
    <xf numFmtId="0" fontId="44" fillId="0" borderId="0" xfId="0" applyFont="1"/>
    <xf numFmtId="0" fontId="24" fillId="0" borderId="1" xfId="0" applyFont="1" applyBorder="1" applyAlignment="1">
      <alignment horizontal="justify" vertical="center" wrapText="1"/>
    </xf>
    <xf numFmtId="0" fontId="43" fillId="8" borderId="1" xfId="0" applyFont="1" applyFill="1" applyBorder="1" applyAlignment="1">
      <alignment horizontal="right" vertical="top" wrapText="1"/>
    </xf>
    <xf numFmtId="49" fontId="37" fillId="8" borderId="48" xfId="0" applyNumberFormat="1" applyFont="1" applyFill="1" applyBorder="1" applyAlignment="1">
      <alignment horizontal="center" vertical="top" wrapText="1"/>
    </xf>
    <xf numFmtId="0" fontId="37" fillId="8" borderId="1" xfId="0" applyFont="1" applyFill="1" applyBorder="1" applyAlignment="1">
      <alignment horizontal="left" vertical="top" wrapText="1"/>
    </xf>
    <xf numFmtId="49" fontId="37" fillId="0" borderId="1" xfId="0" applyNumberFormat="1" applyFont="1" applyBorder="1" applyAlignment="1">
      <alignment vertical="top" wrapText="1"/>
    </xf>
    <xf numFmtId="0" fontId="5" fillId="0" borderId="1" xfId="0" applyFont="1" applyBorder="1" applyAlignment="1">
      <alignment wrapText="1"/>
    </xf>
    <xf numFmtId="0" fontId="19" fillId="8" borderId="1" xfId="0" applyFont="1" applyFill="1" applyBorder="1" applyAlignment="1">
      <alignment horizontal="center" vertical="top"/>
    </xf>
    <xf numFmtId="0" fontId="19" fillId="8" borderId="1" xfId="0" applyFont="1" applyFill="1" applyBorder="1" applyAlignment="1">
      <alignment horizontal="left" vertical="top"/>
    </xf>
    <xf numFmtId="0" fontId="37" fillId="6" borderId="1" xfId="0" applyFont="1" applyFill="1" applyBorder="1" applyAlignment="1">
      <alignment horizontal="left" vertical="top"/>
    </xf>
    <xf numFmtId="0" fontId="19" fillId="6" borderId="1" xfId="0" applyFont="1" applyFill="1" applyBorder="1" applyAlignment="1">
      <alignment horizontal="center" vertical="top"/>
    </xf>
    <xf numFmtId="0" fontId="38" fillId="0" borderId="1" xfId="0" applyFont="1" applyBorder="1" applyAlignment="1">
      <alignment horizontal="right" vertical="top" wrapText="1"/>
    </xf>
    <xf numFmtId="49" fontId="19" fillId="8" borderId="48" xfId="0" applyNumberFormat="1" applyFont="1" applyFill="1" applyBorder="1" applyAlignment="1">
      <alignment horizontal="center" vertical="top" wrapText="1"/>
    </xf>
    <xf numFmtId="4" fontId="47" fillId="8" borderId="1" xfId="0" applyNumberFormat="1" applyFont="1" applyFill="1" applyBorder="1" applyAlignment="1">
      <alignment horizontal="center" vertical="top"/>
    </xf>
    <xf numFmtId="2" fontId="43" fillId="9" borderId="48" xfId="0" applyNumberFormat="1" applyFont="1" applyFill="1" applyBorder="1" applyAlignment="1">
      <alignment horizontal="right" vertical="top" wrapText="1"/>
    </xf>
    <xf numFmtId="49" fontId="19" fillId="9" borderId="1" xfId="0" applyNumberFormat="1" applyFont="1" applyFill="1" applyBorder="1" applyAlignment="1">
      <alignment horizontal="center" vertical="top" wrapText="1"/>
    </xf>
    <xf numFmtId="4" fontId="46" fillId="7" borderId="1" xfId="0" applyNumberFormat="1" applyFont="1" applyFill="1" applyBorder="1" applyAlignment="1">
      <alignment horizontal="center" vertical="top"/>
    </xf>
    <xf numFmtId="49" fontId="19" fillId="8" borderId="12" xfId="0" applyNumberFormat="1" applyFont="1" applyFill="1" applyBorder="1" applyAlignment="1">
      <alignment horizontal="center" vertical="center" wrapText="1"/>
    </xf>
    <xf numFmtId="49" fontId="19" fillId="8" borderId="1" xfId="0" applyNumberFormat="1" applyFont="1" applyFill="1" applyBorder="1" applyAlignment="1">
      <alignment horizontal="center" vertical="center" wrapText="1"/>
    </xf>
    <xf numFmtId="49" fontId="19" fillId="0" borderId="12" xfId="0" applyNumberFormat="1" applyFont="1" applyBorder="1" applyAlignment="1">
      <alignment horizontal="center" vertical="top" wrapText="1"/>
    </xf>
    <xf numFmtId="0" fontId="5" fillId="0" borderId="51" xfId="0" quotePrefix="1" applyFont="1" applyBorder="1" applyAlignment="1">
      <alignment horizontal="left" vertical="top" wrapText="1"/>
    </xf>
    <xf numFmtId="4" fontId="47" fillId="9" borderId="1" xfId="0" applyNumberFormat="1" applyFont="1" applyFill="1" applyBorder="1" applyAlignment="1">
      <alignment horizontal="center" vertical="top"/>
    </xf>
    <xf numFmtId="49" fontId="37" fillId="9" borderId="1" xfId="0" applyNumberFormat="1" applyFont="1" applyFill="1" applyBorder="1" applyAlignment="1">
      <alignment horizontal="center" vertical="top" wrapText="1"/>
    </xf>
    <xf numFmtId="0" fontId="19" fillId="9" borderId="1" xfId="0" applyFont="1" applyFill="1" applyBorder="1" applyAlignment="1">
      <alignment horizontal="left" vertical="top"/>
    </xf>
    <xf numFmtId="0" fontId="19" fillId="9" borderId="1" xfId="0" applyFont="1" applyFill="1" applyBorder="1" applyAlignment="1">
      <alignment horizontal="center" vertical="top"/>
    </xf>
    <xf numFmtId="4" fontId="45" fillId="0" borderId="1" xfId="0" applyNumberFormat="1" applyFont="1" applyBorder="1" applyAlignment="1">
      <alignment horizontal="center" vertical="top"/>
    </xf>
    <xf numFmtId="4" fontId="42" fillId="6" borderId="10" xfId="0" applyNumberFormat="1" applyFont="1" applyFill="1" applyBorder="1" applyAlignment="1">
      <alignment horizontal="center" vertical="top"/>
    </xf>
    <xf numFmtId="4" fontId="1" fillId="0" borderId="0" xfId="0" applyNumberFormat="1" applyFont="1"/>
    <xf numFmtId="49" fontId="41" fillId="8" borderId="48" xfId="0" applyNumberFormat="1" applyFont="1" applyFill="1" applyBorder="1" applyAlignment="1">
      <alignment horizontal="center" vertical="top" wrapText="1"/>
    </xf>
    <xf numFmtId="49" fontId="29" fillId="0" borderId="51" xfId="0" quotePrefix="1" applyNumberFormat="1" applyFont="1" applyBorder="1" applyAlignment="1">
      <alignment horizontal="left" vertical="top" wrapText="1"/>
    </xf>
    <xf numFmtId="4" fontId="47" fillId="8" borderId="10" xfId="0" applyNumberFormat="1" applyFont="1" applyFill="1" applyBorder="1" applyAlignment="1">
      <alignment horizontal="center" vertical="top"/>
    </xf>
    <xf numFmtId="4" fontId="47" fillId="10" borderId="1" xfId="0" applyNumberFormat="1" applyFont="1" applyFill="1" applyBorder="1" applyAlignment="1">
      <alignment horizontal="center" vertical="top"/>
    </xf>
    <xf numFmtId="4" fontId="45" fillId="10" borderId="1" xfId="0" applyNumberFormat="1" applyFont="1" applyFill="1" applyBorder="1" applyAlignment="1">
      <alignment horizontal="center" vertical="top"/>
    </xf>
    <xf numFmtId="4" fontId="49" fillId="0" borderId="1" xfId="0" applyNumberFormat="1" applyFont="1" applyBorder="1" applyAlignment="1">
      <alignment horizontal="center" vertical="top"/>
    </xf>
    <xf numFmtId="4" fontId="19" fillId="0" borderId="0" xfId="0" applyNumberFormat="1" applyFont="1" applyAlignment="1">
      <alignment vertical="top"/>
    </xf>
    <xf numFmtId="4" fontId="19" fillId="0" borderId="13" xfId="0" applyNumberFormat="1" applyFont="1" applyBorder="1" applyAlignment="1">
      <alignment horizontal="center" vertical="top" wrapText="1"/>
    </xf>
    <xf numFmtId="4" fontId="19" fillId="0" borderId="13" xfId="0" applyNumberFormat="1" applyFont="1" applyBorder="1" applyAlignment="1">
      <alignment horizontal="center" vertical="top"/>
    </xf>
    <xf numFmtId="4" fontId="39" fillId="8" borderId="1" xfId="0" applyNumberFormat="1" applyFont="1" applyFill="1" applyBorder="1" applyAlignment="1">
      <alignment horizontal="center" vertical="center"/>
    </xf>
    <xf numFmtId="4" fontId="37" fillId="0" borderId="1" xfId="0" applyNumberFormat="1" applyFont="1" applyBorder="1" applyAlignment="1">
      <alignment horizontal="center" vertical="top"/>
    </xf>
    <xf numFmtId="4" fontId="45" fillId="7" borderId="10" xfId="0" applyNumberFormat="1" applyFont="1" applyFill="1" applyBorder="1" applyAlignment="1">
      <alignment horizontal="center" vertical="top"/>
    </xf>
    <xf numFmtId="4" fontId="45" fillId="8" borderId="12" xfId="0" applyNumberFormat="1" applyFont="1" applyFill="1" applyBorder="1" applyAlignment="1">
      <alignment horizontal="center" vertical="top"/>
    </xf>
    <xf numFmtId="4" fontId="29" fillId="3" borderId="1" xfId="0" applyNumberFormat="1" applyFont="1" applyFill="1" applyBorder="1" applyAlignment="1">
      <alignment horizontal="center" vertical="center" wrapText="1"/>
    </xf>
    <xf numFmtId="4" fontId="45" fillId="7" borderId="1" xfId="0" applyNumberFormat="1" applyFont="1" applyFill="1" applyBorder="1" applyAlignment="1">
      <alignment horizontal="center" vertical="top" wrapText="1"/>
    </xf>
    <xf numFmtId="4" fontId="41" fillId="0" borderId="1" xfId="0" applyNumberFormat="1" applyFont="1" applyBorder="1" applyAlignment="1">
      <alignment horizontal="center" vertical="top" wrapText="1"/>
    </xf>
    <xf numFmtId="4" fontId="45" fillId="7" borderId="1" xfId="0" applyNumberFormat="1" applyFont="1" applyFill="1" applyBorder="1" applyAlignment="1">
      <alignment horizontal="center" vertical="top"/>
    </xf>
    <xf numFmtId="4" fontId="45" fillId="8" borderId="1" xfId="0" applyNumberFormat="1" applyFont="1" applyFill="1" applyBorder="1" applyAlignment="1">
      <alignment horizontal="center" vertical="top"/>
    </xf>
    <xf numFmtId="4" fontId="45" fillId="9" borderId="1" xfId="0" applyNumberFormat="1" applyFont="1" applyFill="1" applyBorder="1" applyAlignment="1">
      <alignment horizontal="center" vertical="top"/>
    </xf>
    <xf numFmtId="4" fontId="42" fillId="0" borderId="1" xfId="0" applyNumberFormat="1" applyFont="1" applyBorder="1" applyAlignment="1">
      <alignment horizontal="center" vertical="top"/>
    </xf>
    <xf numFmtId="4" fontId="41" fillId="9" borderId="1" xfId="0" applyNumberFormat="1" applyFont="1" applyFill="1" applyBorder="1" applyAlignment="1">
      <alignment horizontal="center" vertical="top"/>
    </xf>
    <xf numFmtId="4" fontId="19" fillId="0" borderId="0" xfId="0" applyNumberFormat="1" applyFont="1"/>
    <xf numFmtId="4" fontId="41" fillId="8" borderId="1" xfId="0" applyNumberFormat="1" applyFont="1" applyFill="1" applyBorder="1" applyAlignment="1">
      <alignment horizontal="center" vertical="top"/>
    </xf>
    <xf numFmtId="4" fontId="19" fillId="0" borderId="0" xfId="0" applyNumberFormat="1" applyFont="1" applyAlignment="1">
      <alignment horizontal="left" vertical="top"/>
    </xf>
    <xf numFmtId="4" fontId="19" fillId="0" borderId="1" xfId="0" applyNumberFormat="1" applyFont="1" applyBorder="1" applyAlignment="1">
      <alignment horizontal="center" vertical="top" wrapText="1"/>
    </xf>
    <xf numFmtId="4" fontId="45" fillId="8" borderId="1" xfId="0" applyNumberFormat="1" applyFont="1" applyFill="1" applyBorder="1" applyAlignment="1">
      <alignment horizontal="center" vertical="center"/>
    </xf>
    <xf numFmtId="4" fontId="39" fillId="9" borderId="1" xfId="0" applyNumberFormat="1" applyFont="1" applyFill="1" applyBorder="1" applyAlignment="1">
      <alignment horizontal="center" vertical="center" wrapText="1"/>
    </xf>
    <xf numFmtId="4" fontId="45" fillId="9" borderId="1" xfId="0" applyNumberFormat="1" applyFont="1" applyFill="1" applyBorder="1" applyAlignment="1">
      <alignment horizontal="center" vertical="center" wrapText="1"/>
    </xf>
    <xf numFmtId="4" fontId="43" fillId="8" borderId="1" xfId="0" applyNumberFormat="1" applyFont="1" applyFill="1" applyBorder="1" applyAlignment="1">
      <alignment horizontal="center" vertical="top"/>
    </xf>
    <xf numFmtId="4" fontId="43" fillId="9" borderId="1" xfId="0" applyNumberFormat="1" applyFont="1" applyFill="1" applyBorder="1" applyAlignment="1">
      <alignment horizontal="center" vertical="top" wrapText="1"/>
    </xf>
    <xf numFmtId="4" fontId="43" fillId="8" borderId="1" xfId="0" applyNumberFormat="1" applyFont="1" applyFill="1" applyBorder="1" applyAlignment="1">
      <alignment horizontal="center" vertical="top" wrapText="1"/>
    </xf>
    <xf numFmtId="4" fontId="41" fillId="0" borderId="1" xfId="0" applyNumberFormat="1" applyFont="1" applyBorder="1" applyAlignment="1">
      <alignment horizontal="center" vertical="top"/>
    </xf>
    <xf numFmtId="4" fontId="48" fillId="9" borderId="1" xfId="0" applyNumberFormat="1" applyFont="1" applyFill="1" applyBorder="1" applyAlignment="1">
      <alignment horizontal="center" vertical="top" wrapText="1"/>
    </xf>
    <xf numFmtId="4" fontId="47" fillId="9" borderId="1" xfId="0" applyNumberFormat="1" applyFont="1" applyFill="1" applyBorder="1" applyAlignment="1">
      <alignment horizontal="center" vertical="top" wrapText="1"/>
    </xf>
    <xf numFmtId="4" fontId="45" fillId="9" borderId="1" xfId="0" applyNumberFormat="1" applyFont="1" applyFill="1" applyBorder="1" applyAlignment="1">
      <alignment horizontal="center" vertical="center"/>
    </xf>
    <xf numFmtId="4" fontId="1" fillId="0" borderId="1" xfId="0" applyNumberFormat="1" applyFont="1" applyBorder="1" applyAlignment="1">
      <alignment horizontal="left"/>
    </xf>
    <xf numFmtId="0" fontId="1" fillId="0" borderId="1" xfId="0" applyFont="1" applyBorder="1" applyAlignment="1">
      <alignment horizontal="left"/>
    </xf>
    <xf numFmtId="0" fontId="8" fillId="3" borderId="2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8" xfId="0" applyBorder="1"/>
    <xf numFmtId="0" fontId="8" fillId="3" borderId="25"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1" xfId="0" applyBorder="1"/>
    <xf numFmtId="0" fontId="8" fillId="2" borderId="28" xfId="0" applyFont="1" applyFill="1" applyBorder="1" applyAlignment="1">
      <alignment horizontal="center" vertical="center" wrapText="1"/>
    </xf>
    <xf numFmtId="0" fontId="8" fillId="2" borderId="16" xfId="0" applyFont="1" applyFill="1" applyBorder="1" applyAlignment="1">
      <alignment horizontal="center" vertical="center" wrapText="1"/>
    </xf>
    <xf numFmtId="4" fontId="8" fillId="0" borderId="28"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8" fillId="3" borderId="33"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xf>
    <xf numFmtId="0" fontId="8" fillId="0" borderId="31" xfId="0" applyFont="1" applyBorder="1" applyAlignment="1">
      <alignment horizontal="center" vertical="center"/>
    </xf>
    <xf numFmtId="4" fontId="8" fillId="0" borderId="32" xfId="0" applyNumberFormat="1" applyFont="1" applyBorder="1" applyAlignment="1">
      <alignment horizontal="center" vertical="center"/>
    </xf>
    <xf numFmtId="4" fontId="8" fillId="0" borderId="31" xfId="0" applyNumberFormat="1" applyFont="1" applyBorder="1" applyAlignment="1">
      <alignment horizontal="center" vertical="center"/>
    </xf>
    <xf numFmtId="0" fontId="8" fillId="0" borderId="2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3" borderId="31" xfId="0" applyFont="1" applyFill="1" applyBorder="1" applyAlignment="1">
      <alignment horizontal="center" vertical="center" wrapText="1"/>
    </xf>
    <xf numFmtId="0" fontId="8" fillId="2" borderId="31" xfId="0" applyFont="1" applyFill="1" applyBorder="1" applyAlignment="1">
      <alignment horizontal="center" vertical="center" wrapText="1"/>
    </xf>
    <xf numFmtId="4" fontId="8" fillId="3" borderId="16" xfId="0" applyNumberFormat="1" applyFont="1" applyFill="1" applyBorder="1" applyAlignment="1">
      <alignment horizontal="center" vertical="center" wrapText="1"/>
    </xf>
    <xf numFmtId="4" fontId="8" fillId="3" borderId="31" xfId="0" applyNumberFormat="1" applyFont="1" applyFill="1" applyBorder="1" applyAlignment="1">
      <alignment horizontal="center" vertical="center" wrapText="1"/>
    </xf>
    <xf numFmtId="4" fontId="8" fillId="0" borderId="16" xfId="0" applyNumberFormat="1" applyFont="1" applyBorder="1" applyAlignment="1">
      <alignment horizontal="center" vertical="center" wrapText="1"/>
    </xf>
    <xf numFmtId="4" fontId="8" fillId="0" borderId="31" xfId="0" applyNumberFormat="1" applyFont="1" applyBorder="1" applyAlignment="1">
      <alignment horizontal="center" vertical="center" wrapText="1"/>
    </xf>
    <xf numFmtId="0" fontId="8" fillId="3" borderId="32" xfId="0" applyFont="1" applyFill="1" applyBorder="1" applyAlignment="1">
      <alignment horizontal="center" vertical="center" wrapText="1"/>
    </xf>
    <xf numFmtId="4" fontId="8" fillId="0" borderId="28" xfId="0" applyNumberFormat="1" applyFont="1" applyBorder="1" applyAlignment="1">
      <alignment horizontal="center" vertical="center" wrapText="1"/>
    </xf>
    <xf numFmtId="4" fontId="8" fillId="0" borderId="32" xfId="0" applyNumberFormat="1" applyFont="1" applyBorder="1" applyAlignment="1">
      <alignment horizontal="center" vertical="center" wrapText="1"/>
    </xf>
    <xf numFmtId="4" fontId="8" fillId="0" borderId="25" xfId="0" applyNumberFormat="1" applyFont="1" applyBorder="1" applyAlignment="1">
      <alignment horizontal="center" vertical="center" wrapText="1"/>
    </xf>
    <xf numFmtId="0" fontId="8" fillId="3" borderId="23" xfId="0" applyFont="1" applyFill="1" applyBorder="1" applyAlignment="1">
      <alignment horizontal="center" vertical="center" wrapTex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5"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5" xfId="0" applyFont="1" applyFill="1" applyBorder="1" applyAlignment="1">
      <alignment horizontal="center" vertical="center"/>
    </xf>
    <xf numFmtId="4" fontId="8" fillId="0" borderId="25" xfId="0" applyNumberFormat="1" applyFont="1" applyBorder="1" applyAlignment="1">
      <alignment horizontal="center" vertical="center"/>
    </xf>
    <xf numFmtId="0" fontId="13" fillId="0" borderId="28" xfId="2" applyFont="1" applyBorder="1" applyAlignment="1">
      <alignment horizontal="center" vertical="center" wrapText="1"/>
    </xf>
    <xf numFmtId="0" fontId="13" fillId="0" borderId="25" xfId="2" applyFont="1" applyBorder="1" applyAlignment="1">
      <alignment horizontal="center" vertical="center" wrapText="1"/>
    </xf>
    <xf numFmtId="0" fontId="13" fillId="0" borderId="38" xfId="2" applyFont="1" applyBorder="1" applyAlignment="1">
      <alignment horizontal="center" vertical="center" wrapText="1"/>
    </xf>
    <xf numFmtId="0" fontId="13" fillId="0" borderId="39" xfId="2" applyFont="1" applyBorder="1" applyAlignment="1">
      <alignment horizontal="center" vertical="center" wrapText="1"/>
    </xf>
    <xf numFmtId="0" fontId="13" fillId="0" borderId="31"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37" xfId="2" applyFont="1" applyBorder="1" applyAlignment="1">
      <alignment horizontal="center" vertical="center" wrapText="1"/>
    </xf>
    <xf numFmtId="0" fontId="13" fillId="0" borderId="21"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20" xfId="2" applyFont="1" applyBorder="1" applyAlignment="1">
      <alignment horizontal="center" vertical="center" wrapText="1"/>
    </xf>
    <xf numFmtId="0" fontId="12" fillId="0" borderId="20" xfId="2" applyBorder="1" applyAlignment="1">
      <alignment horizontal="center" vertical="center" wrapText="1"/>
    </xf>
    <xf numFmtId="4" fontId="14" fillId="0" borderId="16" xfId="2" applyNumberFormat="1" applyFont="1" applyBorder="1" applyAlignment="1">
      <alignment horizontal="center" vertical="center" wrapText="1"/>
    </xf>
    <xf numFmtId="0" fontId="12" fillId="0" borderId="16" xfId="2" applyBorder="1" applyAlignment="1">
      <alignment horizontal="center" vertical="center" wrapText="1"/>
    </xf>
    <xf numFmtId="0" fontId="12" fillId="0" borderId="25" xfId="2" applyBorder="1" applyAlignment="1">
      <alignment horizontal="center" vertical="center" wrapText="1"/>
    </xf>
    <xf numFmtId="0" fontId="2" fillId="0" borderId="27" xfId="0" applyFont="1" applyBorder="1" applyAlignment="1">
      <alignment horizontal="center" vertical="center" wrapText="1"/>
    </xf>
    <xf numFmtId="0" fontId="16" fillId="0" borderId="28"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0" fontId="16" fillId="5" borderId="28" xfId="0" applyFont="1" applyFill="1" applyBorder="1" applyAlignment="1">
      <alignment horizontal="center" vertical="center" textRotation="90" wrapText="1"/>
    </xf>
    <xf numFmtId="0" fontId="16" fillId="5" borderId="25" xfId="0" applyFont="1" applyFill="1" applyBorder="1" applyAlignment="1">
      <alignment horizontal="center" vertical="center" textRotation="90" wrapText="1"/>
    </xf>
    <xf numFmtId="0" fontId="16" fillId="0" borderId="28" xfId="0" applyFont="1" applyBorder="1" applyAlignment="1">
      <alignment horizontal="center" vertical="center" wrapText="1"/>
    </xf>
    <xf numFmtId="0" fontId="16" fillId="0" borderId="16" xfId="0" applyFont="1" applyBorder="1" applyAlignment="1">
      <alignment horizontal="center" vertical="center" wrapText="1"/>
    </xf>
    <xf numFmtId="4" fontId="14" fillId="0" borderId="32" xfId="0" applyNumberFormat="1" applyFont="1" applyBorder="1" applyAlignment="1">
      <alignment horizontal="justify" vertical="center"/>
    </xf>
    <xf numFmtId="4" fontId="14" fillId="0" borderId="31" xfId="0" applyNumberFormat="1" applyFont="1" applyBorder="1" applyAlignment="1">
      <alignment horizontal="justify" vertical="center"/>
    </xf>
    <xf numFmtId="0" fontId="14" fillId="0" borderId="28"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28" xfId="0" applyFont="1" applyBorder="1" applyAlignment="1">
      <alignment horizontal="justify" vertical="center"/>
    </xf>
    <xf numFmtId="0" fontId="14" fillId="0" borderId="16" xfId="0" applyFont="1" applyBorder="1" applyAlignment="1">
      <alignment horizontal="justify" vertical="center"/>
    </xf>
    <xf numFmtId="0" fontId="16" fillId="0" borderId="19" xfId="0" applyFont="1" applyBorder="1" applyAlignment="1">
      <alignment horizontal="center" vertical="center" textRotation="90" wrapText="1"/>
    </xf>
    <xf numFmtId="0" fontId="16" fillId="0" borderId="20" xfId="0" applyFont="1" applyBorder="1" applyAlignment="1">
      <alignment horizontal="center" vertical="center" textRotation="90" wrapText="1"/>
    </xf>
    <xf numFmtId="0" fontId="16" fillId="0" borderId="21" xfId="0" applyFont="1" applyBorder="1" applyAlignment="1">
      <alignment horizontal="center" vertical="center" textRotation="90" wrapText="1"/>
    </xf>
    <xf numFmtId="4" fontId="14" fillId="0" borderId="28" xfId="0" applyNumberFormat="1" applyFont="1" applyBorder="1" applyAlignment="1">
      <alignment horizontal="justify" vertical="center"/>
    </xf>
    <xf numFmtId="4" fontId="14" fillId="0" borderId="16" xfId="0" applyNumberFormat="1" applyFont="1" applyBorder="1" applyAlignment="1">
      <alignment horizontal="justify" vertical="center"/>
    </xf>
    <xf numFmtId="0" fontId="0" fillId="0" borderId="1" xfId="0" applyBorder="1" applyAlignment="1">
      <alignment vertical="center" wrapText="1"/>
    </xf>
    <xf numFmtId="0" fontId="0" fillId="0" borderId="35" xfId="0" applyBorder="1" applyAlignment="1">
      <alignment vertical="center" wrapText="1"/>
    </xf>
    <xf numFmtId="0" fontId="0" fillId="0" borderId="35" xfId="0" applyBorder="1"/>
    <xf numFmtId="0" fontId="14" fillId="0" borderId="31" xfId="0" applyFont="1" applyBorder="1" applyAlignment="1">
      <alignment horizontal="justify" vertical="center" wrapText="1"/>
    </xf>
    <xf numFmtId="0" fontId="14" fillId="0" borderId="31" xfId="0" applyFont="1" applyBorder="1" applyAlignment="1">
      <alignment horizontal="justify" vertical="center"/>
    </xf>
    <xf numFmtId="0" fontId="0" fillId="0" borderId="1" xfId="0" applyBorder="1" applyAlignment="1">
      <alignment wrapText="1"/>
    </xf>
    <xf numFmtId="0" fontId="14" fillId="0" borderId="32" xfId="0" applyFont="1" applyBorder="1" applyAlignment="1">
      <alignment horizontal="justify" vertical="center" wrapText="1"/>
    </xf>
    <xf numFmtId="0" fontId="14" fillId="0" borderId="32" xfId="0" applyFont="1" applyBorder="1" applyAlignment="1">
      <alignment horizontal="justify" vertical="center"/>
    </xf>
    <xf numFmtId="0" fontId="0" fillId="0" borderId="1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5" fillId="0" borderId="28" xfId="0" applyFont="1" applyBorder="1" applyAlignment="1">
      <alignment horizontal="justify" vertical="center" wrapText="1"/>
    </xf>
    <xf numFmtId="0" fontId="0" fillId="0" borderId="16" xfId="0" applyBorder="1" applyAlignment="1">
      <alignment horizontal="justify" vertical="center" wrapText="1"/>
    </xf>
    <xf numFmtId="0" fontId="0" fillId="0" borderId="25" xfId="0" applyBorder="1" applyAlignment="1">
      <alignment horizontal="justify" vertical="center" wrapText="1"/>
    </xf>
    <xf numFmtId="4" fontId="14" fillId="0" borderId="28"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4" fontId="14" fillId="4" borderId="28" xfId="0" applyNumberFormat="1"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25" xfId="0" applyFill="1" applyBorder="1" applyAlignment="1">
      <alignment horizontal="center" vertical="center" wrapText="1"/>
    </xf>
    <xf numFmtId="0" fontId="29" fillId="0" borderId="49" xfId="3" applyFont="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7" fillId="0" borderId="28"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19" fillId="0" borderId="12" xfId="0" applyFont="1" applyBorder="1" applyAlignment="1">
      <alignment vertical="center" wrapText="1"/>
    </xf>
    <xf numFmtId="0" fontId="19" fillId="0" borderId="9" xfId="0" applyFont="1" applyBorder="1" applyAlignment="1">
      <alignment vertical="center" wrapText="1"/>
    </xf>
    <xf numFmtId="0" fontId="19" fillId="0" borderId="42" xfId="0" applyFont="1" applyBorder="1" applyAlignment="1">
      <alignment vertical="center" wrapText="1"/>
    </xf>
    <xf numFmtId="0" fontId="0" fillId="0" borderId="12" xfId="0" applyBorder="1"/>
    <xf numFmtId="0" fontId="0" fillId="0" borderId="9" xfId="0" applyBorder="1"/>
    <xf numFmtId="0" fontId="0" fillId="0" borderId="10" xfId="0" applyBorder="1"/>
    <xf numFmtId="0" fontId="14" fillId="0" borderId="28" xfId="0" applyFont="1" applyBorder="1" applyAlignment="1">
      <alignment vertical="center"/>
    </xf>
    <xf numFmtId="0" fontId="14" fillId="0" borderId="16" xfId="0" applyFont="1" applyBorder="1" applyAlignment="1">
      <alignment vertical="center"/>
    </xf>
    <xf numFmtId="0" fontId="0" fillId="0" borderId="4" xfId="0" applyBorder="1" applyAlignment="1">
      <alignment horizontal="center" vertical="center" wrapText="1"/>
    </xf>
    <xf numFmtId="0" fontId="7" fillId="0" borderId="31" xfId="0" applyFont="1" applyBorder="1" applyAlignment="1">
      <alignment horizontal="center" vertical="center" textRotation="90" wrapText="1"/>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0" xfId="0" applyFont="1" applyAlignment="1">
      <alignment vertical="center" wrapText="1"/>
    </xf>
    <xf numFmtId="0" fontId="8" fillId="0" borderId="28" xfId="0" applyFont="1" applyBorder="1" applyAlignment="1">
      <alignment horizontal="center" vertical="center"/>
    </xf>
    <xf numFmtId="0" fontId="8" fillId="0" borderId="16" xfId="0" applyFont="1" applyBorder="1" applyAlignment="1">
      <alignment horizontal="center" vertical="center"/>
    </xf>
    <xf numFmtId="4" fontId="10" fillId="4" borderId="28"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0" fillId="0" borderId="1" xfId="0" applyBorder="1" applyAlignment="1">
      <alignment vertical="center"/>
    </xf>
    <xf numFmtId="0" fontId="19" fillId="0" borderId="10" xfId="0" applyFont="1" applyBorder="1" applyAlignment="1">
      <alignment vertical="center" wrapText="1"/>
    </xf>
    <xf numFmtId="0" fontId="19" fillId="0" borderId="14" xfId="0" applyFont="1" applyBorder="1" applyAlignment="1">
      <alignmen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7" fillId="0" borderId="19" xfId="0" applyFont="1" applyBorder="1" applyAlignment="1">
      <alignment horizontal="center" vertical="center" wrapText="1"/>
    </xf>
    <xf numFmtId="0" fontId="0" fillId="0" borderId="20" xfId="0" applyBorder="1" applyAlignment="1">
      <alignment horizontal="center" vertical="center" wrapText="1"/>
    </xf>
    <xf numFmtId="0" fontId="16" fillId="5" borderId="16" xfId="0" applyFont="1" applyFill="1" applyBorder="1" applyAlignment="1">
      <alignment horizontal="center" vertical="center" textRotation="90" wrapText="1"/>
    </xf>
    <xf numFmtId="0" fontId="7" fillId="0" borderId="20" xfId="0" applyFont="1" applyBorder="1" applyAlignment="1">
      <alignment horizontal="center" vertical="center" wrapText="1"/>
    </xf>
    <xf numFmtId="0" fontId="0" fillId="0" borderId="21" xfId="0" applyBorder="1" applyAlignment="1">
      <alignment horizontal="center" vertical="center" wrapText="1"/>
    </xf>
    <xf numFmtId="4" fontId="10" fillId="0" borderId="2" xfId="0" applyNumberFormat="1" applyFont="1" applyBorder="1" applyAlignment="1">
      <alignment horizontal="center" vertical="center" wrapText="1"/>
    </xf>
    <xf numFmtId="0" fontId="0" fillId="0" borderId="8" xfId="0" applyBorder="1" applyAlignment="1">
      <alignment horizontal="center" vertical="center" wrapText="1"/>
    </xf>
    <xf numFmtId="4" fontId="23" fillId="0" borderId="2" xfId="0" applyNumberFormat="1" applyFont="1" applyBorder="1"/>
    <xf numFmtId="0" fontId="23" fillId="0" borderId="4" xfId="0" applyFont="1" applyBorder="1"/>
    <xf numFmtId="0" fontId="0" fillId="0" borderId="25" xfId="0" applyBorder="1" applyAlignment="1">
      <alignment horizontal="center" vertical="center"/>
    </xf>
    <xf numFmtId="0" fontId="6" fillId="0" borderId="0" xfId="0" applyFont="1" applyAlignment="1">
      <alignment horizontal="right" vertical="center"/>
    </xf>
    <xf numFmtId="0" fontId="0" fillId="0" borderId="0" xfId="0"/>
    <xf numFmtId="0" fontId="5" fillId="0" borderId="1" xfId="0" applyFont="1" applyBorder="1" applyAlignment="1">
      <alignment horizontal="left" vertical="center" wrapText="1"/>
    </xf>
    <xf numFmtId="0" fontId="0" fillId="0" borderId="1" xfId="0" applyBorder="1" applyAlignment="1">
      <alignment horizontal="lef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xf numFmtId="0" fontId="0" fillId="0" borderId="1" xfId="0" applyBorder="1" applyAlignment="1">
      <alignment horizontal="center" vertical="center" wrapText="1"/>
    </xf>
    <xf numFmtId="0" fontId="15" fillId="0" borderId="19"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16" fillId="0" borderId="0" xfId="0" applyFont="1" applyAlignment="1">
      <alignment horizontal="center" vertical="center"/>
    </xf>
    <xf numFmtId="0" fontId="15" fillId="0" borderId="28" xfId="0" applyFont="1" applyBorder="1" applyAlignment="1">
      <alignment horizontal="center" vertical="center" textRotation="90" wrapText="1"/>
    </xf>
    <xf numFmtId="0" fontId="15" fillId="0" borderId="25"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21" xfId="0" applyFont="1" applyBorder="1" applyAlignment="1">
      <alignment horizontal="center" vertical="center" textRotation="90" wrapText="1"/>
    </xf>
    <xf numFmtId="0" fontId="3" fillId="0" borderId="0" xfId="0" applyFont="1" applyAlignment="1">
      <alignment horizontal="center" vertical="center"/>
    </xf>
    <xf numFmtId="0" fontId="2" fillId="0" borderId="0" xfId="0" applyFont="1" applyAlignment="1">
      <alignment horizontal="center" vertical="center" wrapText="1"/>
    </xf>
    <xf numFmtId="4" fontId="25" fillId="5" borderId="1" xfId="0" applyNumberFormat="1"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vertical="center" wrapText="1"/>
    </xf>
    <xf numFmtId="4" fontId="24" fillId="0" borderId="1" xfId="0" applyNumberFormat="1" applyFont="1" applyBorder="1" applyAlignment="1">
      <alignment horizontal="center" vertical="center"/>
    </xf>
    <xf numFmtId="0" fontId="24" fillId="0" borderId="1" xfId="0" applyFont="1" applyBorder="1" applyAlignment="1">
      <alignment horizontal="justify" vertical="center"/>
    </xf>
    <xf numFmtId="0" fontId="0" fillId="0" borderId="1" xfId="0" applyBorder="1" applyAlignment="1">
      <alignment horizontal="justify" vertical="center"/>
    </xf>
    <xf numFmtId="0" fontId="5" fillId="0" borderId="1" xfId="0" applyFont="1" applyBorder="1" applyAlignment="1">
      <alignment vertical="center" wrapText="1"/>
    </xf>
    <xf numFmtId="0" fontId="24" fillId="0" borderId="12" xfId="0" applyFont="1" applyBorder="1" applyAlignment="1">
      <alignment vertical="center" wrapText="1"/>
    </xf>
    <xf numFmtId="0" fontId="24" fillId="0" borderId="1" xfId="0" applyFont="1" applyBorder="1" applyAlignment="1">
      <alignment horizontal="center" vertical="center" wrapText="1"/>
    </xf>
    <xf numFmtId="4" fontId="32" fillId="0" borderId="1"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0" fontId="14" fillId="0" borderId="1" xfId="0" applyFont="1" applyBorder="1" applyAlignment="1">
      <alignment horizontal="justify" vertical="center"/>
    </xf>
    <xf numFmtId="0" fontId="11" fillId="0" borderId="1" xfId="0" applyFont="1" applyBorder="1" applyAlignment="1">
      <alignment vertical="center"/>
    </xf>
    <xf numFmtId="0" fontId="1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5" fillId="0" borderId="51" xfId="0" applyFont="1" applyBorder="1" applyAlignment="1">
      <alignment horizontal="left" wrapText="1"/>
    </xf>
    <xf numFmtId="0" fontId="25" fillId="0" borderId="35" xfId="0" applyFont="1" applyBorder="1" applyAlignment="1">
      <alignment horizontal="left" wrapText="1"/>
    </xf>
    <xf numFmtId="0" fontId="19" fillId="0" borderId="48" xfId="0" applyFont="1" applyBorder="1" applyAlignment="1">
      <alignment horizontal="left" vertical="center" wrapText="1"/>
    </xf>
    <xf numFmtId="0" fontId="19" fillId="0" borderId="35" xfId="0" applyFont="1" applyBorder="1" applyAlignment="1">
      <alignment horizontal="left" vertical="center" wrapText="1"/>
    </xf>
    <xf numFmtId="0" fontId="2" fillId="7" borderId="48" xfId="0" applyFont="1" applyFill="1" applyBorder="1" applyAlignment="1">
      <alignment horizontal="left" vertical="top" wrapText="1"/>
    </xf>
    <xf numFmtId="0" fontId="2" fillId="7" borderId="35" xfId="0" applyFont="1" applyFill="1" applyBorder="1" applyAlignment="1">
      <alignment horizontal="left" vertical="top" wrapText="1"/>
    </xf>
    <xf numFmtId="0" fontId="37" fillId="0" borderId="48" xfId="0" applyFont="1" applyBorder="1" applyAlignment="1">
      <alignment horizontal="left" vertical="top" wrapText="1"/>
    </xf>
    <xf numFmtId="0" fontId="37" fillId="0" borderId="35" xfId="0" applyFont="1" applyBorder="1" applyAlignment="1">
      <alignment horizontal="left" vertical="top" wrapText="1"/>
    </xf>
    <xf numFmtId="2" fontId="37" fillId="0" borderId="48" xfId="0" applyNumberFormat="1" applyFont="1" applyBorder="1" applyAlignment="1">
      <alignment horizontal="left" vertical="top" wrapText="1"/>
    </xf>
    <xf numFmtId="2" fontId="37" fillId="0" borderId="35" xfId="0" applyNumberFormat="1" applyFont="1" applyBorder="1" applyAlignment="1">
      <alignment horizontal="left" vertical="top" wrapText="1"/>
    </xf>
    <xf numFmtId="0" fontId="19" fillId="0" borderId="0" xfId="0" applyFont="1" applyAlignment="1">
      <alignment horizontal="center" vertical="top"/>
    </xf>
    <xf numFmtId="0" fontId="19" fillId="0" borderId="27" xfId="0" applyFont="1" applyBorder="1" applyAlignment="1">
      <alignment horizontal="center" vertical="top" wrapText="1"/>
    </xf>
    <xf numFmtId="0" fontId="19" fillId="0" borderId="44" xfId="0" applyFont="1" applyBorder="1" applyAlignment="1">
      <alignment horizontal="center" vertical="top" wrapText="1"/>
    </xf>
    <xf numFmtId="0" fontId="19" fillId="0" borderId="47" xfId="0" applyFont="1" applyBorder="1" applyAlignment="1">
      <alignment horizontal="center" vertical="top"/>
    </xf>
    <xf numFmtId="0" fontId="19" fillId="0" borderId="45" xfId="0" applyFont="1" applyBorder="1" applyAlignment="1">
      <alignment horizontal="center" vertical="top" wrapText="1"/>
    </xf>
    <xf numFmtId="0" fontId="19" fillId="0" borderId="1" xfId="0" applyFont="1" applyBorder="1" applyAlignment="1">
      <alignment horizontal="center" vertical="top"/>
    </xf>
    <xf numFmtId="4" fontId="19" fillId="0" borderId="45" xfId="0" applyNumberFormat="1" applyFont="1" applyBorder="1" applyAlignment="1">
      <alignment horizontal="center" vertical="top"/>
    </xf>
    <xf numFmtId="0" fontId="39" fillId="8" borderId="1" xfId="0" applyFont="1" applyFill="1" applyBorder="1" applyAlignment="1">
      <alignment horizontal="right" vertical="top" wrapText="1"/>
    </xf>
    <xf numFmtId="2" fontId="39" fillId="9" borderId="1" xfId="0" applyNumberFormat="1" applyFont="1" applyFill="1" applyBorder="1" applyAlignment="1">
      <alignment horizontal="right" vertical="top" wrapText="1"/>
    </xf>
    <xf numFmtId="0" fontId="37" fillId="0" borderId="48" xfId="0" applyFont="1" applyBorder="1" applyAlignment="1">
      <alignment horizontal="center" vertical="top" wrapText="1"/>
    </xf>
    <xf numFmtId="0" fontId="37" fillId="0" borderId="35" xfId="0" applyFont="1" applyBorder="1" applyAlignment="1">
      <alignment horizontal="center" vertical="top" wrapText="1"/>
    </xf>
    <xf numFmtId="4" fontId="19" fillId="0" borderId="45" xfId="0" applyNumberFormat="1" applyFont="1" applyBorder="1" applyAlignment="1">
      <alignment horizontal="center" vertical="top" wrapText="1"/>
    </xf>
    <xf numFmtId="4" fontId="19" fillId="0" borderId="46" xfId="0" applyNumberFormat="1" applyFont="1" applyBorder="1" applyAlignment="1">
      <alignment horizontal="center" vertical="top" wrapText="1"/>
    </xf>
  </cellXfs>
  <cellStyles count="5">
    <cellStyle name="Обычный" xfId="0" builtinId="0"/>
    <cellStyle name="Обычный 19" xfId="1"/>
    <cellStyle name="Обычный 2" xfId="2"/>
    <cellStyle name="Обычный 3 2" xfId="4"/>
    <cellStyle name="Обычный_Лист1" xfId="3"/>
  </cellStyles>
  <dxfs count="0"/>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topLeftCell="A136" workbookViewId="0">
      <selection activeCell="L148" sqref="L148"/>
    </sheetView>
  </sheetViews>
  <sheetFormatPr defaultRowHeight="15" x14ac:dyDescent="0.25"/>
  <cols>
    <col min="2" max="2" width="26.140625" customWidth="1"/>
    <col min="3" max="3" width="7.28515625" customWidth="1"/>
    <col min="4" max="4" width="8.85546875" customWidth="1"/>
    <col min="5" max="5" width="12.42578125" customWidth="1"/>
    <col min="6" max="6" width="16.42578125" customWidth="1"/>
    <col min="7" max="7" width="13.7109375" customWidth="1"/>
    <col min="8" max="8" width="12.42578125" bestFit="1" customWidth="1"/>
    <col min="9" max="9" width="11.42578125" customWidth="1"/>
    <col min="10" max="10" width="11.140625" customWidth="1"/>
    <col min="11" max="11" width="12.85546875" customWidth="1"/>
    <col min="12" max="12" width="10.7109375" customWidth="1"/>
    <col min="13" max="13" width="9.5703125" customWidth="1"/>
    <col min="14" max="14" width="10.85546875" bestFit="1" customWidth="1"/>
    <col min="15" max="15" width="10.5703125" customWidth="1"/>
    <col min="16" max="16" width="10.85546875" customWidth="1"/>
    <col min="17" max="17" width="12.42578125" bestFit="1" customWidth="1"/>
    <col min="18" max="18" width="10" bestFit="1" customWidth="1"/>
  </cols>
  <sheetData>
    <row r="1" spans="1:17" ht="18.75" x14ac:dyDescent="0.25">
      <c r="A1" s="12" t="s">
        <v>18</v>
      </c>
    </row>
    <row r="2" spans="1:17" ht="18.75" x14ac:dyDescent="0.25">
      <c r="A2" s="12" t="s">
        <v>19</v>
      </c>
    </row>
    <row r="3" spans="1:17" ht="15" customHeight="1" x14ac:dyDescent="0.3">
      <c r="A3" s="13"/>
      <c r="G3" s="8"/>
    </row>
    <row r="4" spans="1:17" ht="15" customHeight="1" x14ac:dyDescent="0.3">
      <c r="A4" s="13"/>
      <c r="G4" s="8"/>
    </row>
    <row r="5" spans="1:17" ht="18.75" x14ac:dyDescent="0.25">
      <c r="A5" s="14" t="s">
        <v>20</v>
      </c>
    </row>
    <row r="6" spans="1:17" ht="18.75" x14ac:dyDescent="0.25">
      <c r="A6" s="14" t="s">
        <v>21</v>
      </c>
    </row>
    <row r="7" spans="1:17" ht="18" x14ac:dyDescent="0.3">
      <c r="A7" s="15" t="s">
        <v>22</v>
      </c>
    </row>
    <row r="8" spans="1:17" ht="16.5" thickBot="1" x14ac:dyDescent="0.3">
      <c r="A8" s="16" t="s">
        <v>23</v>
      </c>
    </row>
    <row r="9" spans="1:17" ht="74.25" thickBot="1" x14ac:dyDescent="0.3">
      <c r="A9" s="17" t="s">
        <v>24</v>
      </c>
      <c r="B9" s="18" t="s">
        <v>25</v>
      </c>
      <c r="C9" s="18" t="s">
        <v>11</v>
      </c>
      <c r="D9" s="18" t="s">
        <v>26</v>
      </c>
      <c r="E9" s="18" t="s">
        <v>27</v>
      </c>
      <c r="F9" s="18" t="s">
        <v>28</v>
      </c>
      <c r="G9" s="18" t="s">
        <v>29</v>
      </c>
      <c r="H9" s="18" t="s">
        <v>30</v>
      </c>
      <c r="I9" s="19" t="s">
        <v>31</v>
      </c>
      <c r="J9" s="18" t="s">
        <v>32</v>
      </c>
      <c r="K9" s="18" t="s">
        <v>33</v>
      </c>
      <c r="L9" s="19" t="s">
        <v>571</v>
      </c>
      <c r="M9" s="18" t="s">
        <v>35</v>
      </c>
      <c r="N9" s="18" t="s">
        <v>36</v>
      </c>
      <c r="O9" s="336" t="s">
        <v>37</v>
      </c>
      <c r="P9" s="20" t="s">
        <v>38</v>
      </c>
    </row>
    <row r="10" spans="1:17" thickBot="1" x14ac:dyDescent="0.35">
      <c r="A10" s="21">
        <v>1</v>
      </c>
      <c r="B10" s="22">
        <v>2</v>
      </c>
      <c r="C10" s="22">
        <v>3</v>
      </c>
      <c r="D10" s="22">
        <v>4</v>
      </c>
      <c r="E10" s="22">
        <v>5</v>
      </c>
      <c r="F10" s="22">
        <v>6</v>
      </c>
      <c r="G10" s="22">
        <v>7</v>
      </c>
      <c r="H10" s="22">
        <v>8</v>
      </c>
      <c r="I10" s="340">
        <v>9</v>
      </c>
      <c r="J10" s="22">
        <v>10</v>
      </c>
      <c r="K10" s="22">
        <v>11</v>
      </c>
      <c r="L10" s="340">
        <v>12</v>
      </c>
      <c r="M10" s="22">
        <v>13</v>
      </c>
      <c r="N10" s="22">
        <v>14</v>
      </c>
      <c r="O10" s="23">
        <v>15</v>
      </c>
      <c r="P10" s="20">
        <v>16</v>
      </c>
    </row>
    <row r="11" spans="1:17" ht="34.5" thickBot="1" x14ac:dyDescent="0.3">
      <c r="A11" s="485" t="s">
        <v>39</v>
      </c>
      <c r="B11" s="485" t="s">
        <v>40</v>
      </c>
      <c r="C11" s="485">
        <v>12</v>
      </c>
      <c r="D11" s="485"/>
      <c r="E11" s="500">
        <v>3255</v>
      </c>
      <c r="F11" s="24" t="s">
        <v>41</v>
      </c>
      <c r="G11" s="25" t="s">
        <v>42</v>
      </c>
      <c r="H11" s="24">
        <v>650</v>
      </c>
      <c r="I11" s="24">
        <v>650</v>
      </c>
      <c r="J11" s="24" t="s">
        <v>43</v>
      </c>
      <c r="K11" s="30">
        <v>836896.93</v>
      </c>
      <c r="L11" s="30">
        <f>845350.44*0.99000000054</f>
        <v>836896.93605648924</v>
      </c>
      <c r="M11" s="485"/>
      <c r="N11" s="323"/>
      <c r="O11" s="493" t="s">
        <v>44</v>
      </c>
      <c r="P11" s="2" t="s">
        <v>45</v>
      </c>
    </row>
    <row r="12" spans="1:17" ht="45.75" thickBot="1" x14ac:dyDescent="0.3">
      <c r="A12" s="486"/>
      <c r="B12" s="486"/>
      <c r="C12" s="486"/>
      <c r="D12" s="486"/>
      <c r="E12" s="501"/>
      <c r="F12" s="24" t="s">
        <v>46</v>
      </c>
      <c r="G12" s="25" t="s">
        <v>42</v>
      </c>
      <c r="H12" s="30">
        <v>1382.81</v>
      </c>
      <c r="I12" s="30">
        <v>1382.81</v>
      </c>
      <c r="J12" s="24" t="s">
        <v>47</v>
      </c>
      <c r="K12" s="30">
        <v>3274604.7</v>
      </c>
      <c r="L12" s="30">
        <f>3307681.51*0.9900000005</f>
        <v>3274604.6965538408</v>
      </c>
      <c r="M12" s="486"/>
      <c r="N12" s="324"/>
      <c r="O12" s="494"/>
      <c r="P12" s="2"/>
      <c r="Q12" s="8"/>
    </row>
    <row r="13" spans="1:17" ht="15.75" thickBot="1" x14ac:dyDescent="0.3">
      <c r="A13" s="486"/>
      <c r="B13" s="486"/>
      <c r="C13" s="486"/>
      <c r="D13" s="486"/>
      <c r="E13" s="501"/>
      <c r="F13" s="24" t="s">
        <v>48</v>
      </c>
      <c r="G13" s="25" t="s">
        <v>42</v>
      </c>
      <c r="H13" s="24">
        <v>343</v>
      </c>
      <c r="I13" s="24">
        <v>343</v>
      </c>
      <c r="J13" s="24" t="s">
        <v>49</v>
      </c>
      <c r="K13" s="30">
        <v>50933.5</v>
      </c>
      <c r="L13" s="30">
        <f>51447.98*0.99</f>
        <v>50933.500200000002</v>
      </c>
      <c r="M13" s="486"/>
      <c r="N13" s="324"/>
      <c r="O13" s="494"/>
      <c r="P13" s="2"/>
    </row>
    <row r="14" spans="1:17" ht="15.75" thickBot="1" x14ac:dyDescent="0.3">
      <c r="A14" s="489"/>
      <c r="B14" s="489"/>
      <c r="C14" s="489"/>
      <c r="D14" s="489"/>
      <c r="E14" s="533"/>
      <c r="F14" s="24" t="s">
        <v>50</v>
      </c>
      <c r="G14" s="24" t="s">
        <v>51</v>
      </c>
      <c r="H14" s="343">
        <v>40</v>
      </c>
      <c r="I14" s="26">
        <v>40</v>
      </c>
      <c r="J14" s="24" t="s">
        <v>52</v>
      </c>
      <c r="K14" s="27">
        <v>4266007.54</v>
      </c>
      <c r="L14" s="30">
        <f>4309098.53*0.99</f>
        <v>4266007.5447000004</v>
      </c>
      <c r="M14" s="489"/>
      <c r="N14" s="325"/>
      <c r="O14" s="522"/>
      <c r="P14" s="2"/>
    </row>
    <row r="15" spans="1:17" ht="15.75" thickBot="1" x14ac:dyDescent="0.3">
      <c r="A15" s="324"/>
      <c r="B15" s="324"/>
      <c r="C15" s="324"/>
      <c r="D15" s="324"/>
      <c r="E15" s="326"/>
      <c r="F15" s="24" t="s">
        <v>53</v>
      </c>
      <c r="G15" s="24"/>
      <c r="H15" s="26"/>
      <c r="I15" s="26"/>
      <c r="J15" s="24"/>
      <c r="K15" s="28">
        <f>SUM(K11:K14)</f>
        <v>8428442.6699999999</v>
      </c>
      <c r="L15" s="345">
        <v>8428442.6799999997</v>
      </c>
      <c r="M15" s="324">
        <v>0</v>
      </c>
      <c r="N15" s="324"/>
      <c r="O15" s="328"/>
      <c r="P15" s="2"/>
      <c r="Q15" s="8"/>
    </row>
    <row r="16" spans="1:17" ht="24.75" customHeight="1" thickBot="1" x14ac:dyDescent="0.3">
      <c r="A16" s="485" t="s">
        <v>39</v>
      </c>
      <c r="B16" s="485" t="s">
        <v>40</v>
      </c>
      <c r="C16" s="485">
        <v>6</v>
      </c>
      <c r="D16" s="485"/>
      <c r="E16" s="500">
        <v>8221</v>
      </c>
      <c r="F16" s="24" t="s">
        <v>41</v>
      </c>
      <c r="G16" s="24" t="s">
        <v>42</v>
      </c>
      <c r="H16" s="24">
        <v>250</v>
      </c>
      <c r="I16" s="24">
        <v>250</v>
      </c>
      <c r="J16" s="24" t="s">
        <v>43</v>
      </c>
      <c r="K16" s="30">
        <v>321749.92</v>
      </c>
      <c r="L16" s="30">
        <f>324999.92*0.98999999753</f>
        <v>321749.9199972502</v>
      </c>
      <c r="M16" s="485"/>
      <c r="N16" s="323"/>
      <c r="O16" s="493" t="s">
        <v>44</v>
      </c>
      <c r="P16" s="2"/>
    </row>
    <row r="17" spans="1:17" ht="45.75" thickBot="1" x14ac:dyDescent="0.3">
      <c r="A17" s="486"/>
      <c r="B17" s="486"/>
      <c r="C17" s="486"/>
      <c r="D17" s="486"/>
      <c r="E17" s="501"/>
      <c r="F17" s="24" t="s">
        <v>46</v>
      </c>
      <c r="G17" s="24" t="s">
        <v>42</v>
      </c>
      <c r="H17" s="30">
        <v>1571.2</v>
      </c>
      <c r="I17" s="30">
        <v>1571.2</v>
      </c>
      <c r="J17" s="24" t="s">
        <v>47</v>
      </c>
      <c r="K17" s="30">
        <v>3720724.25</v>
      </c>
      <c r="L17" s="30">
        <f>3758307.33*0.9899999975</f>
        <v>3720724.2473042319</v>
      </c>
      <c r="M17" s="486"/>
      <c r="N17" s="324"/>
      <c r="O17" s="494"/>
      <c r="P17" s="2" t="s">
        <v>45</v>
      </c>
    </row>
    <row r="18" spans="1:17" ht="15.75" thickBot="1" x14ac:dyDescent="0.3">
      <c r="A18" s="486"/>
      <c r="B18" s="486"/>
      <c r="C18" s="486"/>
      <c r="D18" s="486"/>
      <c r="E18" s="501"/>
      <c r="F18" s="24" t="s">
        <v>48</v>
      </c>
      <c r="G18" s="24" t="s">
        <v>42</v>
      </c>
      <c r="H18" s="30">
        <v>2095</v>
      </c>
      <c r="I18" s="30">
        <v>2095</v>
      </c>
      <c r="J18" s="24" t="s">
        <v>49</v>
      </c>
      <c r="K18" s="30">
        <v>311104.90000000002</v>
      </c>
      <c r="L18" s="30">
        <f>314247.37*0.9899999998</f>
        <v>311104.89623715053</v>
      </c>
      <c r="M18" s="486"/>
      <c r="N18" s="324"/>
      <c r="O18" s="494"/>
      <c r="P18" s="2"/>
    </row>
    <row r="19" spans="1:17" ht="15.75" thickBot="1" x14ac:dyDescent="0.3">
      <c r="A19" s="489"/>
      <c r="B19" s="489"/>
      <c r="C19" s="489"/>
      <c r="D19" s="489"/>
      <c r="E19" s="533"/>
      <c r="F19" s="24" t="s">
        <v>50</v>
      </c>
      <c r="G19" s="24" t="s">
        <v>51</v>
      </c>
      <c r="H19" s="343">
        <v>35</v>
      </c>
      <c r="I19" s="26">
        <v>35</v>
      </c>
      <c r="J19" s="24" t="s">
        <v>52</v>
      </c>
      <c r="K19" s="27">
        <v>3733834.3</v>
      </c>
      <c r="L19" s="30">
        <f>3771549.81*0.98999999753+0.06</f>
        <v>3733834.3625842719</v>
      </c>
      <c r="M19" s="489"/>
      <c r="N19" s="325"/>
      <c r="O19" s="522"/>
      <c r="P19" s="2"/>
    </row>
    <row r="20" spans="1:17" ht="15.75" thickBot="1" x14ac:dyDescent="0.3">
      <c r="A20" s="324"/>
      <c r="B20" s="324"/>
      <c r="C20" s="324"/>
      <c r="D20" s="324"/>
      <c r="E20" s="326"/>
      <c r="F20" s="24" t="s">
        <v>53</v>
      </c>
      <c r="G20" s="24"/>
      <c r="H20" s="26"/>
      <c r="I20" s="26"/>
      <c r="J20" s="24"/>
      <c r="K20" s="28">
        <f>SUM(K16:K19)</f>
        <v>8087413.3700000001</v>
      </c>
      <c r="L20" s="70">
        <v>8087413.4299999997</v>
      </c>
      <c r="M20" s="324">
        <v>0</v>
      </c>
      <c r="N20" s="324"/>
      <c r="O20" s="328"/>
      <c r="P20" s="2"/>
    </row>
    <row r="21" spans="1:17" ht="30" customHeight="1" thickBot="1" x14ac:dyDescent="0.3">
      <c r="A21" s="485" t="s">
        <v>39</v>
      </c>
      <c r="B21" s="485" t="s">
        <v>40</v>
      </c>
      <c r="C21" s="485">
        <v>2</v>
      </c>
      <c r="D21" s="485"/>
      <c r="E21" s="500">
        <v>4182</v>
      </c>
      <c r="F21" s="24" t="s">
        <v>41</v>
      </c>
      <c r="G21" s="24" t="s">
        <v>42</v>
      </c>
      <c r="H21" s="24">
        <v>650</v>
      </c>
      <c r="I21" s="24">
        <v>650</v>
      </c>
      <c r="J21" s="24" t="s">
        <v>43</v>
      </c>
      <c r="K21" s="30">
        <v>531824</v>
      </c>
      <c r="L21" s="30">
        <f>537195.96*0.98999999981</f>
        <v>531824.00029793277</v>
      </c>
      <c r="M21" s="485"/>
      <c r="N21" s="323"/>
      <c r="O21" s="493" t="s">
        <v>44</v>
      </c>
      <c r="P21" s="2"/>
    </row>
    <row r="22" spans="1:17" ht="45.75" thickBot="1" x14ac:dyDescent="0.3">
      <c r="A22" s="486"/>
      <c r="B22" s="486"/>
      <c r="C22" s="486"/>
      <c r="D22" s="486"/>
      <c r="E22" s="501"/>
      <c r="F22" s="24" t="s">
        <v>46</v>
      </c>
      <c r="G22" s="24" t="s">
        <v>42</v>
      </c>
      <c r="H22" s="24">
        <v>599.46</v>
      </c>
      <c r="I22" s="24">
        <v>599.46</v>
      </c>
      <c r="J22" s="24" t="s">
        <v>47</v>
      </c>
      <c r="K22" s="30">
        <v>1419559.3</v>
      </c>
      <c r="L22" s="30">
        <f>1433898.29*0.98999999981</f>
        <v>1419559.3068275594</v>
      </c>
      <c r="M22" s="486"/>
      <c r="N22" s="324"/>
      <c r="O22" s="494"/>
      <c r="P22" s="2" t="s">
        <v>45</v>
      </c>
      <c r="Q22" s="8"/>
    </row>
    <row r="23" spans="1:17" ht="15.75" thickBot="1" x14ac:dyDescent="0.3">
      <c r="A23" s="486"/>
      <c r="B23" s="486"/>
      <c r="C23" s="486"/>
      <c r="D23" s="486"/>
      <c r="E23" s="501"/>
      <c r="F23" s="24" t="s">
        <v>48</v>
      </c>
      <c r="G23" s="24" t="s">
        <v>42</v>
      </c>
      <c r="H23" s="24">
        <v>760</v>
      </c>
      <c r="I23" s="24">
        <v>760</v>
      </c>
      <c r="J23" s="24" t="s">
        <v>49</v>
      </c>
      <c r="K23" s="30">
        <v>112859.74</v>
      </c>
      <c r="L23" s="30">
        <f>113999.74*0.98999999981</f>
        <v>112859.74257834005</v>
      </c>
      <c r="M23" s="486"/>
      <c r="N23" s="324"/>
      <c r="O23" s="494"/>
      <c r="P23" s="2"/>
    </row>
    <row r="24" spans="1:17" ht="15.75" thickBot="1" x14ac:dyDescent="0.3">
      <c r="A24" s="489"/>
      <c r="B24" s="489"/>
      <c r="C24" s="489"/>
      <c r="D24" s="489"/>
      <c r="E24" s="533"/>
      <c r="F24" s="24" t="s">
        <v>50</v>
      </c>
      <c r="G24" s="24" t="s">
        <v>51</v>
      </c>
      <c r="H24" s="343">
        <v>10</v>
      </c>
      <c r="I24" s="26">
        <v>10</v>
      </c>
      <c r="J24" s="24" t="s">
        <v>52</v>
      </c>
      <c r="K24" s="27">
        <v>1072987.7</v>
      </c>
      <c r="L24" s="30">
        <f>1083825.95*0.98999999981</f>
        <v>1072987.690294073</v>
      </c>
      <c r="M24" s="489"/>
      <c r="N24" s="325"/>
      <c r="O24" s="522"/>
      <c r="P24" s="2"/>
    </row>
    <row r="25" spans="1:17" ht="15.75" thickBot="1" x14ac:dyDescent="0.3">
      <c r="A25" s="325"/>
      <c r="B25" s="25"/>
      <c r="C25" s="25"/>
      <c r="D25" s="25"/>
      <c r="E25" s="27"/>
      <c r="F25" s="24" t="s">
        <v>53</v>
      </c>
      <c r="G25" s="24"/>
      <c r="H25" s="26"/>
      <c r="I25" s="26"/>
      <c r="J25" s="24"/>
      <c r="K25" s="28">
        <f>SUM(K21:K24)</f>
        <v>3137230.74</v>
      </c>
      <c r="L25" s="70">
        <f>K25</f>
        <v>3137230.74</v>
      </c>
      <c r="M25" s="25">
        <v>0</v>
      </c>
      <c r="N25" s="25"/>
      <c r="O25" s="31"/>
      <c r="P25" s="2"/>
    </row>
    <row r="26" spans="1:17" ht="34.5" thickBot="1" x14ac:dyDescent="0.3">
      <c r="A26" s="325" t="s">
        <v>39</v>
      </c>
      <c r="B26" s="25" t="s">
        <v>54</v>
      </c>
      <c r="C26" s="25">
        <v>1</v>
      </c>
      <c r="D26" s="25"/>
      <c r="E26" s="30">
        <v>2559.5</v>
      </c>
      <c r="F26" s="24" t="s">
        <v>55</v>
      </c>
      <c r="G26" s="24" t="s">
        <v>42</v>
      </c>
      <c r="H26" s="341">
        <v>74</v>
      </c>
      <c r="I26" s="24">
        <v>74</v>
      </c>
      <c r="J26" s="24" t="s">
        <v>52</v>
      </c>
      <c r="K26" s="30">
        <v>98897.45</v>
      </c>
      <c r="L26" s="30">
        <v>89977.57</v>
      </c>
      <c r="M26" s="25"/>
      <c r="N26" s="25"/>
      <c r="O26" s="31" t="s">
        <v>44</v>
      </c>
      <c r="P26" s="2" t="s">
        <v>45</v>
      </c>
    </row>
    <row r="27" spans="1:17" ht="15.75" thickBot="1" x14ac:dyDescent="0.3">
      <c r="A27" s="324"/>
      <c r="B27" s="32"/>
      <c r="C27" s="32"/>
      <c r="D27" s="32"/>
      <c r="E27" s="33"/>
      <c r="F27" s="24" t="s">
        <v>53</v>
      </c>
      <c r="G27" s="24"/>
      <c r="H27" s="24"/>
      <c r="I27" s="24"/>
      <c r="J27" s="24"/>
      <c r="K27" s="34">
        <f>K26</f>
        <v>98897.45</v>
      </c>
      <c r="L27" s="70">
        <v>89977.57</v>
      </c>
      <c r="M27" s="39"/>
      <c r="N27" s="39"/>
      <c r="O27" s="35"/>
      <c r="P27" s="2"/>
    </row>
    <row r="28" spans="1:17" ht="15.75" thickBot="1" x14ac:dyDescent="0.3">
      <c r="A28" s="485" t="s">
        <v>39</v>
      </c>
      <c r="B28" s="530" t="s">
        <v>56</v>
      </c>
      <c r="C28" s="485">
        <v>5</v>
      </c>
      <c r="D28" s="485"/>
      <c r="E28" s="519">
        <v>5799.5</v>
      </c>
      <c r="F28" s="24" t="s">
        <v>55</v>
      </c>
      <c r="G28" s="24" t="s">
        <v>42</v>
      </c>
      <c r="H28" s="341">
        <v>176.3</v>
      </c>
      <c r="I28" s="24">
        <v>176.3</v>
      </c>
      <c r="J28" s="24" t="s">
        <v>47</v>
      </c>
      <c r="K28" s="30">
        <v>235615.68</v>
      </c>
      <c r="L28" s="30">
        <f>237995.6*0.99000015126</f>
        <v>235615.67999921445</v>
      </c>
      <c r="M28" s="485"/>
      <c r="N28" s="323"/>
      <c r="O28" s="493" t="s">
        <v>44</v>
      </c>
      <c r="P28" s="2"/>
    </row>
    <row r="29" spans="1:17" ht="15.75" thickBot="1" x14ac:dyDescent="0.3">
      <c r="A29" s="486"/>
      <c r="B29" s="531"/>
      <c r="C29" s="486"/>
      <c r="D29" s="486"/>
      <c r="E29" s="516"/>
      <c r="F29" s="24" t="s">
        <v>57</v>
      </c>
      <c r="G29" s="24" t="s">
        <v>58</v>
      </c>
      <c r="H29" s="24">
        <v>147</v>
      </c>
      <c r="I29" s="24">
        <v>147</v>
      </c>
      <c r="J29" s="24" t="s">
        <v>59</v>
      </c>
      <c r="K29" s="30">
        <v>145409.9</v>
      </c>
      <c r="L29" s="30">
        <f>148878.69*0.9767005607</f>
        <v>145409.89999928148</v>
      </c>
      <c r="M29" s="486"/>
      <c r="N29" s="324"/>
      <c r="O29" s="494"/>
      <c r="P29" s="2"/>
    </row>
    <row r="30" spans="1:17" ht="45.75" thickBot="1" x14ac:dyDescent="0.3">
      <c r="A30" s="486"/>
      <c r="B30" s="531"/>
      <c r="C30" s="486"/>
      <c r="D30" s="486"/>
      <c r="E30" s="516"/>
      <c r="F30" s="24" t="s">
        <v>46</v>
      </c>
      <c r="G30" s="24" t="s">
        <v>42</v>
      </c>
      <c r="H30" s="341">
        <v>7.9</v>
      </c>
      <c r="I30" s="24">
        <v>7.9</v>
      </c>
      <c r="J30" s="24" t="s">
        <v>52</v>
      </c>
      <c r="K30" s="30">
        <v>18705.259999999998</v>
      </c>
      <c r="L30" s="30">
        <f>18894.2*0.99000010585</f>
        <v>18705.259999951071</v>
      </c>
      <c r="M30" s="486"/>
      <c r="N30" s="324"/>
      <c r="O30" s="494"/>
      <c r="P30" s="2" t="s">
        <v>45</v>
      </c>
    </row>
    <row r="31" spans="1:17" ht="27" thickBot="1" x14ac:dyDescent="0.3">
      <c r="A31" s="486"/>
      <c r="B31" s="531"/>
      <c r="C31" s="486"/>
      <c r="D31" s="486"/>
      <c r="E31" s="516"/>
      <c r="F31" s="24" t="s">
        <v>60</v>
      </c>
      <c r="G31" s="24" t="s">
        <v>42</v>
      </c>
      <c r="H31" s="341">
        <v>180</v>
      </c>
      <c r="I31" s="24">
        <v>180</v>
      </c>
      <c r="J31" s="24" t="s">
        <v>47</v>
      </c>
      <c r="K31" s="30">
        <v>374059.4</v>
      </c>
      <c r="L31" s="30">
        <f>377837.7*0.99000020379</f>
        <v>374059.3999995449</v>
      </c>
      <c r="M31" s="486"/>
      <c r="N31" s="324"/>
      <c r="O31" s="494"/>
      <c r="P31" s="36" t="s">
        <v>61</v>
      </c>
    </row>
    <row r="32" spans="1:17" ht="39.75" thickBot="1" x14ac:dyDescent="0.3">
      <c r="A32" s="486"/>
      <c r="B32" s="531"/>
      <c r="C32" s="486"/>
      <c r="D32" s="486"/>
      <c r="E32" s="516"/>
      <c r="F32" s="24" t="s">
        <v>62</v>
      </c>
      <c r="G32" s="24" t="s">
        <v>63</v>
      </c>
      <c r="H32" s="341">
        <v>65.599999999999994</v>
      </c>
      <c r="I32" s="24">
        <v>65.599999999999994</v>
      </c>
      <c r="J32" s="24" t="s">
        <v>52</v>
      </c>
      <c r="K32" s="342">
        <v>55202.080000000002</v>
      </c>
      <c r="L32" s="342">
        <f>56328.66*0.98</f>
        <v>55202.086800000005</v>
      </c>
      <c r="M32" s="486"/>
      <c r="N32" s="324"/>
      <c r="O32" s="494"/>
      <c r="P32" s="36" t="s">
        <v>64</v>
      </c>
    </row>
    <row r="33" spans="1:16" ht="15.75" thickBot="1" x14ac:dyDescent="0.3">
      <c r="A33" s="486"/>
      <c r="B33" s="531"/>
      <c r="C33" s="486"/>
      <c r="D33" s="486"/>
      <c r="E33" s="516"/>
      <c r="F33" s="24" t="s">
        <v>65</v>
      </c>
      <c r="G33" s="24" t="s">
        <v>51</v>
      </c>
      <c r="H33" s="341">
        <v>1</v>
      </c>
      <c r="I33" s="24">
        <v>1</v>
      </c>
      <c r="J33" s="24" t="s">
        <v>66</v>
      </c>
      <c r="K33" s="342">
        <v>728525.33</v>
      </c>
      <c r="L33" s="342">
        <f>743393.19*0.98</f>
        <v>728525.32619999989</v>
      </c>
      <c r="M33" s="486"/>
      <c r="N33" s="324"/>
      <c r="O33" s="494"/>
      <c r="P33" s="2"/>
    </row>
    <row r="34" spans="1:16" ht="15.75" thickBot="1" x14ac:dyDescent="0.3">
      <c r="A34" s="486"/>
      <c r="B34" s="531"/>
      <c r="C34" s="486"/>
      <c r="D34" s="486"/>
      <c r="E34" s="516"/>
      <c r="F34" s="24" t="s">
        <v>67</v>
      </c>
      <c r="G34" s="24" t="s">
        <v>51</v>
      </c>
      <c r="H34" s="341">
        <v>5</v>
      </c>
      <c r="I34" s="24">
        <v>4</v>
      </c>
      <c r="J34" s="24" t="s">
        <v>68</v>
      </c>
      <c r="K34" s="342">
        <v>275384</v>
      </c>
      <c r="L34" s="342">
        <f>275384/5*4</f>
        <v>220307.20000000001</v>
      </c>
      <c r="M34" s="486"/>
      <c r="N34" s="330"/>
      <c r="O34" s="494"/>
      <c r="P34" s="2"/>
    </row>
    <row r="35" spans="1:16" ht="15.75" thickBot="1" x14ac:dyDescent="0.3">
      <c r="A35" s="486"/>
      <c r="B35" s="531"/>
      <c r="C35" s="486"/>
      <c r="D35" s="486"/>
      <c r="E35" s="516"/>
      <c r="F35" s="346" t="s">
        <v>69</v>
      </c>
      <c r="G35" s="24" t="s">
        <v>51</v>
      </c>
      <c r="H35" s="341">
        <v>8</v>
      </c>
      <c r="I35" s="24">
        <v>5</v>
      </c>
      <c r="J35" s="24" t="s">
        <v>70</v>
      </c>
      <c r="K35" s="342">
        <v>70287.3</v>
      </c>
      <c r="L35" s="342">
        <v>32384.03</v>
      </c>
      <c r="M35" s="486"/>
      <c r="N35" s="324"/>
      <c r="O35" s="494"/>
      <c r="P35" s="2"/>
    </row>
    <row r="36" spans="1:16" ht="15.75" thickBot="1" x14ac:dyDescent="0.3">
      <c r="A36" s="489"/>
      <c r="B36" s="532"/>
      <c r="C36" s="489"/>
      <c r="D36" s="489"/>
      <c r="E36" s="521"/>
      <c r="F36" s="24" t="s">
        <v>71</v>
      </c>
      <c r="G36" s="24" t="s">
        <v>51</v>
      </c>
      <c r="H36" s="341">
        <v>4</v>
      </c>
      <c r="I36" s="24">
        <v>4</v>
      </c>
      <c r="J36" s="24" t="s">
        <v>70</v>
      </c>
      <c r="K36" s="342">
        <v>20372.900000000001</v>
      </c>
      <c r="L36" s="342">
        <f>20578.686*0.99</f>
        <v>20372.899140000001</v>
      </c>
      <c r="M36" s="489"/>
      <c r="N36" s="288"/>
      <c r="O36" s="522"/>
      <c r="P36" s="2"/>
    </row>
    <row r="37" spans="1:16" ht="15.75" thickBot="1" x14ac:dyDescent="0.3">
      <c r="A37" s="324"/>
      <c r="B37" s="37"/>
      <c r="C37" s="324"/>
      <c r="D37" s="324"/>
      <c r="E37" s="331"/>
      <c r="F37" s="24" t="s">
        <v>53</v>
      </c>
      <c r="G37" s="24"/>
      <c r="H37" s="24"/>
      <c r="I37" s="24"/>
      <c r="J37" s="24"/>
      <c r="K37" s="34">
        <f>SUM(K28:K36)</f>
        <v>1923561.8499999999</v>
      </c>
      <c r="L37" s="70">
        <f>SUM(L28:L36)</f>
        <v>1830581.7821379919</v>
      </c>
      <c r="M37" s="324"/>
      <c r="N37" s="330"/>
      <c r="O37" s="328"/>
      <c r="P37" s="2"/>
    </row>
    <row r="38" spans="1:16" ht="35.25" customHeight="1" thickBot="1" x14ac:dyDescent="0.3">
      <c r="A38" s="485" t="s">
        <v>39</v>
      </c>
      <c r="B38" s="526" t="s">
        <v>72</v>
      </c>
      <c r="C38" s="485">
        <v>3</v>
      </c>
      <c r="D38" s="485"/>
      <c r="E38" s="519">
        <v>3130.9</v>
      </c>
      <c r="F38" s="24" t="s">
        <v>46</v>
      </c>
      <c r="G38" s="24" t="s">
        <v>42</v>
      </c>
      <c r="H38" s="341">
        <v>30</v>
      </c>
      <c r="I38" s="24">
        <v>30</v>
      </c>
      <c r="J38" s="24" t="s">
        <v>52</v>
      </c>
      <c r="K38" s="30">
        <v>71044.100000000006</v>
      </c>
      <c r="L38" s="30">
        <f>71761.72*0.98999996098</f>
        <v>71044.099999857688</v>
      </c>
      <c r="M38" s="485">
        <v>21236.76</v>
      </c>
      <c r="N38" s="323"/>
      <c r="O38" s="493" t="s">
        <v>44</v>
      </c>
      <c r="P38" s="2"/>
    </row>
    <row r="39" spans="1:16" ht="15.75" thickBot="1" x14ac:dyDescent="0.3">
      <c r="A39" s="486"/>
      <c r="B39" s="527"/>
      <c r="C39" s="486"/>
      <c r="D39" s="486"/>
      <c r="E39" s="516"/>
      <c r="F39" s="24" t="s">
        <v>60</v>
      </c>
      <c r="G39" s="24" t="s">
        <v>42</v>
      </c>
      <c r="H39" s="341">
        <v>129</v>
      </c>
      <c r="I39" s="24">
        <v>129</v>
      </c>
      <c r="J39" s="24" t="s">
        <v>52</v>
      </c>
      <c r="K39" s="30">
        <v>268147.71999999997</v>
      </c>
      <c r="L39" s="30">
        <f>270856.28*0.9899999999888</f>
        <v>268147.71719696641</v>
      </c>
      <c r="M39" s="486"/>
      <c r="N39" s="324"/>
      <c r="O39" s="494"/>
      <c r="P39" s="2" t="s">
        <v>45</v>
      </c>
    </row>
    <row r="40" spans="1:16" ht="23.25" thickBot="1" x14ac:dyDescent="0.3">
      <c r="A40" s="486"/>
      <c r="B40" s="527"/>
      <c r="C40" s="486"/>
      <c r="D40" s="486"/>
      <c r="E40" s="516"/>
      <c r="F40" s="24" t="s">
        <v>62</v>
      </c>
      <c r="G40" s="24" t="s">
        <v>63</v>
      </c>
      <c r="H40" s="341">
        <v>94</v>
      </c>
      <c r="I40" s="24">
        <v>94</v>
      </c>
      <c r="J40" s="24" t="s">
        <v>52</v>
      </c>
      <c r="K40" s="342">
        <v>79101.45</v>
      </c>
      <c r="L40" s="342">
        <f>79900.46*0.98999999</f>
        <v>79101.454600995407</v>
      </c>
      <c r="M40" s="486"/>
      <c r="N40" s="324"/>
      <c r="O40" s="494"/>
      <c r="P40" s="2"/>
    </row>
    <row r="41" spans="1:16" ht="15.75" thickBot="1" x14ac:dyDescent="0.3">
      <c r="A41" s="486"/>
      <c r="B41" s="527"/>
      <c r="C41" s="486"/>
      <c r="D41" s="486"/>
      <c r="E41" s="516"/>
      <c r="F41" s="24" t="s">
        <v>50</v>
      </c>
      <c r="G41" s="24" t="s">
        <v>51</v>
      </c>
      <c r="H41" s="341">
        <v>4</v>
      </c>
      <c r="I41" s="24">
        <v>4</v>
      </c>
      <c r="J41" s="24" t="s">
        <v>52</v>
      </c>
      <c r="K41" s="30">
        <v>471726.7</v>
      </c>
      <c r="L41" s="30">
        <f>477939.92*0.987</f>
        <v>471726.70103999996</v>
      </c>
      <c r="M41" s="486"/>
      <c r="N41" s="324"/>
      <c r="O41" s="494"/>
      <c r="P41" s="2"/>
    </row>
    <row r="42" spans="1:16" ht="15.75" thickBot="1" x14ac:dyDescent="0.3">
      <c r="A42" s="486"/>
      <c r="B42" s="527"/>
      <c r="C42" s="486"/>
      <c r="D42" s="486"/>
      <c r="E42" s="516"/>
      <c r="F42" s="24" t="s">
        <v>65</v>
      </c>
      <c r="G42" s="24" t="s">
        <v>51</v>
      </c>
      <c r="H42" s="341">
        <v>1</v>
      </c>
      <c r="I42" s="24">
        <v>1</v>
      </c>
      <c r="J42" s="24" t="s">
        <v>66</v>
      </c>
      <c r="K42" s="342">
        <v>718011.53</v>
      </c>
      <c r="L42" s="342">
        <f>726732.32*0.988</f>
        <v>718011.53215999994</v>
      </c>
      <c r="M42" s="486"/>
      <c r="N42" s="324"/>
      <c r="O42" s="494"/>
      <c r="P42" s="2"/>
    </row>
    <row r="43" spans="1:16" ht="15.75" thickBot="1" x14ac:dyDescent="0.3">
      <c r="A43" s="486"/>
      <c r="B43" s="527"/>
      <c r="C43" s="486"/>
      <c r="D43" s="486"/>
      <c r="E43" s="516"/>
      <c r="F43" s="24" t="s">
        <v>67</v>
      </c>
      <c r="G43" s="24" t="s">
        <v>51</v>
      </c>
      <c r="H43" s="341">
        <v>3</v>
      </c>
      <c r="I43" s="24">
        <v>3</v>
      </c>
      <c r="J43" s="24" t="s">
        <v>73</v>
      </c>
      <c r="K43" s="342">
        <v>149678.54</v>
      </c>
      <c r="L43" s="342">
        <f>151496.5*0.988</f>
        <v>149678.54199999999</v>
      </c>
      <c r="M43" s="486"/>
      <c r="N43" s="324"/>
      <c r="O43" s="494"/>
      <c r="P43" s="2"/>
    </row>
    <row r="44" spans="1:16" ht="15.75" thickBot="1" x14ac:dyDescent="0.3">
      <c r="A44" s="486"/>
      <c r="B44" s="527"/>
      <c r="C44" s="486"/>
      <c r="D44" s="486"/>
      <c r="E44" s="516"/>
      <c r="F44" s="346" t="s">
        <v>69</v>
      </c>
      <c r="G44" s="24" t="s">
        <v>51</v>
      </c>
      <c r="H44" s="341">
        <v>4</v>
      </c>
      <c r="I44" s="24">
        <v>4</v>
      </c>
      <c r="J44" s="24" t="s">
        <v>70</v>
      </c>
      <c r="K44" s="342">
        <v>35143.699999999997</v>
      </c>
      <c r="L44" s="342">
        <f>35570.55*0.988-0.03</f>
        <v>35143.673400000007</v>
      </c>
      <c r="M44" s="486"/>
      <c r="N44" s="324"/>
      <c r="O44" s="494"/>
      <c r="P44" s="2"/>
    </row>
    <row r="45" spans="1:16" ht="15.75" thickBot="1" x14ac:dyDescent="0.3">
      <c r="A45" s="486"/>
      <c r="B45" s="527"/>
      <c r="C45" s="486"/>
      <c r="D45" s="486"/>
      <c r="E45" s="516"/>
      <c r="F45" s="24" t="s">
        <v>71</v>
      </c>
      <c r="G45" s="24" t="s">
        <v>51</v>
      </c>
      <c r="H45" s="341">
        <v>8</v>
      </c>
      <c r="I45" s="24">
        <v>8</v>
      </c>
      <c r="J45" s="24" t="s">
        <v>70</v>
      </c>
      <c r="K45" s="342">
        <v>40745.800000000003</v>
      </c>
      <c r="L45" s="342">
        <f>41240.67*0.988</f>
        <v>40745.78196</v>
      </c>
      <c r="M45" s="486"/>
      <c r="N45" s="324"/>
      <c r="O45" s="494"/>
      <c r="P45" s="2"/>
    </row>
    <row r="46" spans="1:16" ht="23.25" thickBot="1" x14ac:dyDescent="0.3">
      <c r="A46" s="489"/>
      <c r="B46" s="528"/>
      <c r="C46" s="489"/>
      <c r="D46" s="489"/>
      <c r="E46" s="521"/>
      <c r="F46" s="24" t="s">
        <v>74</v>
      </c>
      <c r="G46" s="24" t="s">
        <v>51</v>
      </c>
      <c r="H46" s="24">
        <v>3</v>
      </c>
      <c r="I46" s="24">
        <v>3</v>
      </c>
      <c r="J46" s="24" t="s">
        <v>75</v>
      </c>
      <c r="K46" s="30">
        <v>5081.25</v>
      </c>
      <c r="L46" s="30">
        <f>5142.97*0.988</f>
        <v>5081.2543599999999</v>
      </c>
      <c r="M46" s="489"/>
      <c r="N46" s="288"/>
      <c r="O46" s="522"/>
      <c r="P46" s="2"/>
    </row>
    <row r="47" spans="1:16" ht="15.75" thickBot="1" x14ac:dyDescent="0.3">
      <c r="A47" s="324"/>
      <c r="B47" s="332"/>
      <c r="C47" s="324"/>
      <c r="D47" s="324"/>
      <c r="E47" s="331"/>
      <c r="F47" s="24" t="s">
        <v>53</v>
      </c>
      <c r="G47" s="24"/>
      <c r="H47" s="24"/>
      <c r="I47" s="24"/>
      <c r="J47" s="24"/>
      <c r="K47" s="34">
        <f>SUM(K38:K46)</f>
        <v>1838680.79</v>
      </c>
      <c r="L47" s="70">
        <v>1838680.76</v>
      </c>
      <c r="M47" s="38">
        <v>21236.76</v>
      </c>
      <c r="N47" s="38"/>
      <c r="O47" s="328"/>
      <c r="P47" s="2"/>
    </row>
    <row r="48" spans="1:16" ht="34.5" customHeight="1" thickBot="1" x14ac:dyDescent="0.3">
      <c r="A48" s="485" t="s">
        <v>39</v>
      </c>
      <c r="B48" s="526" t="s">
        <v>76</v>
      </c>
      <c r="C48" s="485">
        <v>1</v>
      </c>
      <c r="D48" s="485"/>
      <c r="E48" s="519">
        <v>4557</v>
      </c>
      <c r="F48" s="24" t="s">
        <v>46</v>
      </c>
      <c r="G48" s="24" t="s">
        <v>42</v>
      </c>
      <c r="H48" s="341">
        <v>40</v>
      </c>
      <c r="I48" s="24">
        <v>40</v>
      </c>
      <c r="J48" s="24" t="s">
        <v>52</v>
      </c>
      <c r="K48" s="30">
        <v>94725.47</v>
      </c>
      <c r="L48" s="30">
        <f>95682.29*0.99</f>
        <v>94725.467099999994</v>
      </c>
      <c r="M48" s="485"/>
      <c r="N48" s="323"/>
      <c r="O48" s="493" t="s">
        <v>44</v>
      </c>
      <c r="P48" s="2"/>
    </row>
    <row r="49" spans="1:16" ht="15.75" thickBot="1" x14ac:dyDescent="0.3">
      <c r="A49" s="486"/>
      <c r="B49" s="527"/>
      <c r="C49" s="486"/>
      <c r="D49" s="486"/>
      <c r="E49" s="516"/>
      <c r="F49" s="24" t="s">
        <v>77</v>
      </c>
      <c r="G49" s="24" t="s">
        <v>42</v>
      </c>
      <c r="H49" s="341">
        <v>600</v>
      </c>
      <c r="I49" s="24">
        <v>589.25</v>
      </c>
      <c r="J49" s="24" t="s">
        <v>52</v>
      </c>
      <c r="K49" s="30">
        <v>1209535.1000000001</v>
      </c>
      <c r="L49" s="30">
        <f>1201760.83*0.95275</f>
        <v>1144977.6307825001</v>
      </c>
      <c r="M49" s="486"/>
      <c r="N49" s="324"/>
      <c r="O49" s="494"/>
      <c r="P49" s="2"/>
    </row>
    <row r="50" spans="1:16" ht="23.25" thickBot="1" x14ac:dyDescent="0.3">
      <c r="A50" s="486"/>
      <c r="B50" s="527"/>
      <c r="C50" s="486"/>
      <c r="D50" s="486"/>
      <c r="E50" s="516"/>
      <c r="F50" s="24" t="s">
        <v>62</v>
      </c>
      <c r="G50" s="24" t="s">
        <v>63</v>
      </c>
      <c r="H50" s="341">
        <v>97</v>
      </c>
      <c r="I50" s="24">
        <v>97</v>
      </c>
      <c r="J50" s="24" t="s">
        <v>52</v>
      </c>
      <c r="K50" s="342">
        <v>81625.11</v>
      </c>
      <c r="L50" s="342">
        <f>82449.61*0.99</f>
        <v>81625.113899999997</v>
      </c>
      <c r="M50" s="486"/>
      <c r="N50" s="324"/>
      <c r="O50" s="494"/>
      <c r="P50" s="2" t="s">
        <v>45</v>
      </c>
    </row>
    <row r="51" spans="1:16" ht="27" thickBot="1" x14ac:dyDescent="0.3">
      <c r="A51" s="486"/>
      <c r="B51" s="527"/>
      <c r="C51" s="486"/>
      <c r="D51" s="486"/>
      <c r="E51" s="516"/>
      <c r="F51" s="24" t="s">
        <v>50</v>
      </c>
      <c r="G51" s="24" t="s">
        <v>51</v>
      </c>
      <c r="H51" s="341">
        <v>4</v>
      </c>
      <c r="I51" s="24">
        <v>4</v>
      </c>
      <c r="J51" s="24" t="s">
        <v>52</v>
      </c>
      <c r="K51" s="30">
        <v>471726.7</v>
      </c>
      <c r="L51" s="30">
        <f>476491.62*0.99</f>
        <v>471726.70380000002</v>
      </c>
      <c r="M51" s="486"/>
      <c r="N51" s="324"/>
      <c r="O51" s="494"/>
      <c r="P51" s="36" t="s">
        <v>61</v>
      </c>
    </row>
    <row r="52" spans="1:16" ht="63" customHeight="1" thickBot="1" x14ac:dyDescent="0.3">
      <c r="A52" s="486"/>
      <c r="B52" s="527"/>
      <c r="C52" s="486"/>
      <c r="D52" s="486"/>
      <c r="E52" s="516"/>
      <c r="F52" s="24" t="s">
        <v>65</v>
      </c>
      <c r="G52" s="24" t="s">
        <v>51</v>
      </c>
      <c r="H52" s="341">
        <v>1</v>
      </c>
      <c r="I52" s="24">
        <v>1</v>
      </c>
      <c r="J52" s="24" t="s">
        <v>66</v>
      </c>
      <c r="K52" s="342">
        <v>1119209.04</v>
      </c>
      <c r="L52" s="342">
        <f>1130514.18*0.99</f>
        <v>1119209.0381999998</v>
      </c>
      <c r="M52" s="486"/>
      <c r="N52" s="324"/>
      <c r="O52" s="494"/>
      <c r="P52" s="36" t="s">
        <v>78</v>
      </c>
    </row>
    <row r="53" spans="1:16" ht="15.75" thickBot="1" x14ac:dyDescent="0.3">
      <c r="A53" s="486"/>
      <c r="B53" s="527"/>
      <c r="C53" s="486"/>
      <c r="D53" s="486"/>
      <c r="E53" s="516"/>
      <c r="F53" s="24" t="s">
        <v>67</v>
      </c>
      <c r="G53" s="24" t="s">
        <v>51</v>
      </c>
      <c r="H53" s="341">
        <v>2</v>
      </c>
      <c r="I53" s="24">
        <v>4</v>
      </c>
      <c r="J53" s="24" t="s">
        <v>73</v>
      </c>
      <c r="K53" s="342">
        <v>111395.03</v>
      </c>
      <c r="L53" s="342">
        <f>K53/H53*I53</f>
        <v>222790.06</v>
      </c>
      <c r="M53" s="486"/>
      <c r="N53" s="324"/>
      <c r="O53" s="494"/>
      <c r="P53" s="2"/>
    </row>
    <row r="54" spans="1:16" ht="15.75" thickBot="1" x14ac:dyDescent="0.3">
      <c r="A54" s="486"/>
      <c r="B54" s="527"/>
      <c r="C54" s="486"/>
      <c r="D54" s="486"/>
      <c r="E54" s="516"/>
      <c r="F54" s="346" t="s">
        <v>69</v>
      </c>
      <c r="G54" s="24" t="s">
        <v>51</v>
      </c>
      <c r="H54" s="341">
        <v>6</v>
      </c>
      <c r="I54" s="24">
        <v>9</v>
      </c>
      <c r="J54" s="24" t="s">
        <v>66</v>
      </c>
      <c r="K54" s="342">
        <v>52715.5</v>
      </c>
      <c r="L54" s="342">
        <f>K54/H54*I54-7.12</f>
        <v>79066.13</v>
      </c>
      <c r="M54" s="486"/>
      <c r="N54" s="324"/>
      <c r="O54" s="494"/>
      <c r="P54" s="2"/>
    </row>
    <row r="55" spans="1:16" ht="15.75" thickBot="1" x14ac:dyDescent="0.3">
      <c r="A55" s="486"/>
      <c r="B55" s="527"/>
      <c r="C55" s="486"/>
      <c r="D55" s="486"/>
      <c r="E55" s="516"/>
      <c r="F55" s="24" t="s">
        <v>71</v>
      </c>
      <c r="G55" s="24" t="s">
        <v>51</v>
      </c>
      <c r="H55" s="341">
        <v>6</v>
      </c>
      <c r="I55" s="24">
        <v>6</v>
      </c>
      <c r="J55" s="24" t="s">
        <v>66</v>
      </c>
      <c r="K55" s="342">
        <v>30559.34</v>
      </c>
      <c r="L55" s="342">
        <f>30868.02*0.99</f>
        <v>30559.339800000002</v>
      </c>
      <c r="M55" s="486"/>
      <c r="N55" s="324"/>
      <c r="O55" s="494"/>
      <c r="P55" s="2"/>
    </row>
    <row r="56" spans="1:16" ht="23.25" thickBot="1" x14ac:dyDescent="0.3">
      <c r="A56" s="489"/>
      <c r="B56" s="528"/>
      <c r="C56" s="489"/>
      <c r="D56" s="489"/>
      <c r="E56" s="521"/>
      <c r="F56" s="24" t="s">
        <v>74</v>
      </c>
      <c r="G56" s="24" t="s">
        <v>51</v>
      </c>
      <c r="H56" s="24">
        <v>3</v>
      </c>
      <c r="I56" s="24">
        <v>3</v>
      </c>
      <c r="J56" s="24" t="s">
        <v>79</v>
      </c>
      <c r="K56" s="30">
        <v>5081.25</v>
      </c>
      <c r="L56" s="30">
        <f>5132.58*0.99</f>
        <v>5081.2542000000003</v>
      </c>
      <c r="M56" s="489"/>
      <c r="N56" s="288"/>
      <c r="O56" s="522"/>
      <c r="P56" s="2"/>
    </row>
    <row r="57" spans="1:16" ht="15.75" thickBot="1" x14ac:dyDescent="0.3">
      <c r="A57" s="324"/>
      <c r="B57" s="332"/>
      <c r="C57" s="324"/>
      <c r="D57" s="324"/>
      <c r="E57" s="331"/>
      <c r="F57" s="24" t="s">
        <v>53</v>
      </c>
      <c r="G57" s="24"/>
      <c r="H57" s="24"/>
      <c r="I57" s="24"/>
      <c r="J57" s="24"/>
      <c r="K57" s="34">
        <f>SUM(K48:K56)</f>
        <v>3176572.5399999996</v>
      </c>
      <c r="L57" s="70">
        <f>SUM(L48:L56)</f>
        <v>3249760.7377824998</v>
      </c>
      <c r="M57" s="324"/>
      <c r="N57" s="324"/>
      <c r="O57" s="328"/>
      <c r="P57" s="2"/>
    </row>
    <row r="58" spans="1:16" ht="45.75" thickBot="1" x14ac:dyDescent="0.3">
      <c r="A58" s="485" t="s">
        <v>39</v>
      </c>
      <c r="B58" s="498" t="s">
        <v>80</v>
      </c>
      <c r="C58" s="485">
        <v>1</v>
      </c>
      <c r="D58" s="485"/>
      <c r="E58" s="519">
        <v>4780</v>
      </c>
      <c r="F58" s="24" t="s">
        <v>46</v>
      </c>
      <c r="G58" s="24" t="s">
        <v>42</v>
      </c>
      <c r="H58" s="341">
        <v>243.2</v>
      </c>
      <c r="I58" s="24">
        <v>243.2</v>
      </c>
      <c r="J58" s="24" t="s">
        <v>52</v>
      </c>
      <c r="K58" s="30">
        <v>575930.6</v>
      </c>
      <c r="L58" s="30">
        <f>587684.29*0.98</f>
        <v>575930.60420000006</v>
      </c>
      <c r="M58" s="485"/>
      <c r="N58" s="323"/>
      <c r="O58" s="493" t="s">
        <v>44</v>
      </c>
      <c r="P58" s="2"/>
    </row>
    <row r="59" spans="1:16" ht="15.75" thickBot="1" x14ac:dyDescent="0.3">
      <c r="A59" s="486"/>
      <c r="B59" s="499"/>
      <c r="C59" s="486"/>
      <c r="D59" s="486"/>
      <c r="E59" s="516"/>
      <c r="F59" s="24" t="s">
        <v>77</v>
      </c>
      <c r="G59" s="24" t="s">
        <v>42</v>
      </c>
      <c r="H59" s="341">
        <v>210</v>
      </c>
      <c r="I59" s="24">
        <v>210</v>
      </c>
      <c r="J59" s="24" t="s">
        <v>52</v>
      </c>
      <c r="K59" s="30">
        <v>436471.8</v>
      </c>
      <c r="L59" s="30">
        <f>445379.39*0.98</f>
        <v>436471.80220000003</v>
      </c>
      <c r="M59" s="486"/>
      <c r="N59" s="324"/>
      <c r="O59" s="494"/>
      <c r="P59" s="2" t="s">
        <v>45</v>
      </c>
    </row>
    <row r="60" spans="1:16" ht="23.25" thickBot="1" x14ac:dyDescent="0.3">
      <c r="A60" s="486"/>
      <c r="B60" s="499"/>
      <c r="C60" s="486"/>
      <c r="D60" s="486"/>
      <c r="E60" s="516"/>
      <c r="F60" s="24" t="s">
        <v>62</v>
      </c>
      <c r="G60" s="24" t="s">
        <v>63</v>
      </c>
      <c r="H60" s="341">
        <v>197</v>
      </c>
      <c r="I60" s="24">
        <f>98.5/0.5</f>
        <v>197</v>
      </c>
      <c r="J60" s="24" t="s">
        <v>52</v>
      </c>
      <c r="K60" s="342">
        <v>165774.93</v>
      </c>
      <c r="L60" s="342">
        <f>169157.99*0.98</f>
        <v>165774.8302</v>
      </c>
      <c r="M60" s="486"/>
      <c r="N60" s="324"/>
      <c r="O60" s="494"/>
      <c r="P60" s="2"/>
    </row>
    <row r="61" spans="1:16" ht="15.75" thickBot="1" x14ac:dyDescent="0.3">
      <c r="A61" s="486"/>
      <c r="B61" s="499"/>
      <c r="C61" s="486"/>
      <c r="D61" s="486"/>
      <c r="E61" s="516"/>
      <c r="F61" s="24" t="s">
        <v>81</v>
      </c>
      <c r="G61" s="24" t="s">
        <v>42</v>
      </c>
      <c r="H61" s="341">
        <v>30.6</v>
      </c>
      <c r="I61" s="24">
        <v>30.6</v>
      </c>
      <c r="J61" s="24" t="s">
        <v>52</v>
      </c>
      <c r="K61" s="30">
        <v>109044.7</v>
      </c>
      <c r="L61" s="30">
        <v>109044.7</v>
      </c>
      <c r="M61" s="486"/>
      <c r="N61" s="324"/>
      <c r="O61" s="494"/>
      <c r="P61" s="2"/>
    </row>
    <row r="62" spans="1:16" ht="15.75" thickBot="1" x14ac:dyDescent="0.3">
      <c r="A62" s="486"/>
      <c r="B62" s="499"/>
      <c r="C62" s="486"/>
      <c r="D62" s="486"/>
      <c r="E62" s="516"/>
      <c r="F62" s="24" t="s">
        <v>48</v>
      </c>
      <c r="G62" s="24" t="s">
        <v>42</v>
      </c>
      <c r="H62" s="30">
        <v>1902.8</v>
      </c>
      <c r="I62" s="30">
        <v>1902.8</v>
      </c>
      <c r="J62" s="24" t="s">
        <v>49</v>
      </c>
      <c r="K62" s="30">
        <v>282556.7</v>
      </c>
      <c r="L62" s="30">
        <f>288323.16*0.98</f>
        <v>282556.69679999998</v>
      </c>
      <c r="M62" s="486"/>
      <c r="N62" s="324"/>
      <c r="O62" s="494"/>
      <c r="P62" s="2"/>
    </row>
    <row r="63" spans="1:16" ht="15.75" thickBot="1" x14ac:dyDescent="0.3">
      <c r="A63" s="486"/>
      <c r="B63" s="499"/>
      <c r="C63" s="486"/>
      <c r="D63" s="486"/>
      <c r="E63" s="516"/>
      <c r="F63" s="24" t="s">
        <v>65</v>
      </c>
      <c r="G63" s="24" t="s">
        <v>51</v>
      </c>
      <c r="H63" s="341">
        <v>1</v>
      </c>
      <c r="I63" s="24">
        <v>1</v>
      </c>
      <c r="J63" s="24" t="s">
        <v>66</v>
      </c>
      <c r="K63" s="342">
        <v>760353.84</v>
      </c>
      <c r="L63" s="342">
        <f>775871.27*0.98</f>
        <v>760353.84459999995</v>
      </c>
      <c r="M63" s="486"/>
      <c r="N63" s="324"/>
      <c r="O63" s="494"/>
      <c r="P63" s="2"/>
    </row>
    <row r="64" spans="1:16" ht="15.75" thickBot="1" x14ac:dyDescent="0.3">
      <c r="A64" s="486"/>
      <c r="B64" s="499"/>
      <c r="C64" s="486"/>
      <c r="D64" s="486"/>
      <c r="E64" s="516"/>
      <c r="F64" s="24" t="s">
        <v>67</v>
      </c>
      <c r="G64" s="24" t="s">
        <v>51</v>
      </c>
      <c r="H64" s="341">
        <v>1</v>
      </c>
      <c r="I64" s="24">
        <v>1</v>
      </c>
      <c r="J64" s="24" t="s">
        <v>73</v>
      </c>
      <c r="K64" s="342">
        <v>47480.57</v>
      </c>
      <c r="L64" s="342">
        <f>48449.56*0.98</f>
        <v>47480.568799999994</v>
      </c>
      <c r="M64" s="486"/>
      <c r="N64" s="324"/>
      <c r="O64" s="494"/>
      <c r="P64" s="2"/>
    </row>
    <row r="65" spans="1:16" ht="15.75" thickBot="1" x14ac:dyDescent="0.3">
      <c r="A65" s="486"/>
      <c r="B65" s="499"/>
      <c r="C65" s="486"/>
      <c r="D65" s="486"/>
      <c r="E65" s="516"/>
      <c r="F65" s="346" t="s">
        <v>69</v>
      </c>
      <c r="G65" s="24" t="s">
        <v>51</v>
      </c>
      <c r="H65" s="341">
        <v>9</v>
      </c>
      <c r="I65" s="24">
        <v>9</v>
      </c>
      <c r="J65" s="24" t="s">
        <v>66</v>
      </c>
      <c r="K65" s="342">
        <v>79073.23</v>
      </c>
      <c r="L65" s="342">
        <f>80686.97*0.98</f>
        <v>79073.230599999995</v>
      </c>
      <c r="M65" s="486"/>
      <c r="N65" s="324">
        <f>K66/0.98</f>
        <v>44445.918367346938</v>
      </c>
      <c r="O65" s="494"/>
      <c r="P65" s="2"/>
    </row>
    <row r="66" spans="1:16" ht="15.75" thickBot="1" x14ac:dyDescent="0.3">
      <c r="A66" s="489"/>
      <c r="B66" s="529"/>
      <c r="C66" s="489"/>
      <c r="D66" s="489"/>
      <c r="E66" s="521"/>
      <c r="F66" s="24" t="s">
        <v>71</v>
      </c>
      <c r="G66" s="24" t="s">
        <v>51</v>
      </c>
      <c r="H66" s="341">
        <v>9</v>
      </c>
      <c r="I66" s="24">
        <v>9</v>
      </c>
      <c r="J66" s="24" t="s">
        <v>66</v>
      </c>
      <c r="K66" s="342">
        <v>43557</v>
      </c>
      <c r="L66" s="342">
        <f>44445.92*0.98</f>
        <v>43557.001599999996</v>
      </c>
      <c r="M66" s="489"/>
      <c r="N66" s="325"/>
      <c r="O66" s="522"/>
      <c r="P66" s="2"/>
    </row>
    <row r="67" spans="1:16" ht="15.75" thickBot="1" x14ac:dyDescent="0.3">
      <c r="A67" s="324"/>
      <c r="B67" s="324"/>
      <c r="C67" s="324"/>
      <c r="D67" s="324"/>
      <c r="E67" s="331"/>
      <c r="F67" s="24" t="s">
        <v>53</v>
      </c>
      <c r="G67" s="24"/>
      <c r="H67" s="24"/>
      <c r="I67" s="24"/>
      <c r="J67" s="24"/>
      <c r="K67" s="34">
        <f>SUM(K58:K66)</f>
        <v>2500243.3699999996</v>
      </c>
      <c r="L67" s="70">
        <f>SUM(L58:L66)</f>
        <v>2500243.2790000001</v>
      </c>
      <c r="M67" s="324"/>
      <c r="N67" s="324"/>
      <c r="O67" s="328"/>
      <c r="P67" s="2"/>
    </row>
    <row r="68" spans="1:16" ht="45.75" thickBot="1" x14ac:dyDescent="0.3">
      <c r="A68" s="485" t="s">
        <v>39</v>
      </c>
      <c r="B68" s="485" t="s">
        <v>82</v>
      </c>
      <c r="C68" s="485">
        <v>9</v>
      </c>
      <c r="D68" s="485"/>
      <c r="E68" s="519">
        <v>2429</v>
      </c>
      <c r="F68" s="24" t="s">
        <v>83</v>
      </c>
      <c r="G68" s="24" t="s">
        <v>42</v>
      </c>
      <c r="H68" s="341">
        <v>812</v>
      </c>
      <c r="I68" s="24">
        <v>757</v>
      </c>
      <c r="J68" s="24" t="s">
        <v>84</v>
      </c>
      <c r="K68" s="30">
        <v>707206.06</v>
      </c>
      <c r="L68" s="30">
        <f>714349.53*0.99000003218</f>
        <v>707206.0576877679</v>
      </c>
      <c r="M68" s="485"/>
      <c r="N68" s="323"/>
      <c r="O68" s="493" t="s">
        <v>44</v>
      </c>
      <c r="P68" s="2" t="s">
        <v>45</v>
      </c>
    </row>
    <row r="69" spans="1:16" ht="15.75" thickBot="1" x14ac:dyDescent="0.3">
      <c r="A69" s="489"/>
      <c r="B69" s="489"/>
      <c r="C69" s="489"/>
      <c r="D69" s="489"/>
      <c r="E69" s="521"/>
      <c r="F69" s="24" t="s">
        <v>85</v>
      </c>
      <c r="G69" s="24" t="s">
        <v>42</v>
      </c>
      <c r="H69" s="341">
        <v>55</v>
      </c>
      <c r="I69" s="24">
        <v>55</v>
      </c>
      <c r="J69" s="24" t="s">
        <v>86</v>
      </c>
      <c r="K69" s="30">
        <v>70736.72</v>
      </c>
      <c r="L69" s="30">
        <f>71451.23*0.99000003218</f>
        <v>70736.719999300578</v>
      </c>
      <c r="M69" s="489"/>
      <c r="N69" s="325"/>
      <c r="O69" s="522"/>
      <c r="P69" s="2"/>
    </row>
    <row r="70" spans="1:16" ht="15.75" thickBot="1" x14ac:dyDescent="0.3">
      <c r="A70" s="324"/>
      <c r="B70" s="324"/>
      <c r="C70" s="324"/>
      <c r="D70" s="324"/>
      <c r="E70" s="331"/>
      <c r="F70" s="24" t="s">
        <v>53</v>
      </c>
      <c r="G70" s="24"/>
      <c r="H70" s="24"/>
      <c r="I70" s="24"/>
      <c r="J70" s="24"/>
      <c r="K70" s="34">
        <f>SUM(K68:K69)</f>
        <v>777942.78</v>
      </c>
      <c r="L70" s="70">
        <f>K70</f>
        <v>777942.78</v>
      </c>
      <c r="M70" s="324"/>
      <c r="N70" s="324"/>
      <c r="O70" s="328"/>
      <c r="P70" s="2"/>
    </row>
    <row r="71" spans="1:16" ht="45.75" thickBot="1" x14ac:dyDescent="0.3">
      <c r="A71" s="485" t="s">
        <v>39</v>
      </c>
      <c r="B71" s="526" t="s">
        <v>87</v>
      </c>
      <c r="C71" s="485">
        <v>6</v>
      </c>
      <c r="D71" s="485"/>
      <c r="E71" s="519">
        <v>4699</v>
      </c>
      <c r="F71" s="24" t="s">
        <v>46</v>
      </c>
      <c r="G71" s="24" t="s">
        <v>42</v>
      </c>
      <c r="H71" s="341">
        <v>9</v>
      </c>
      <c r="I71" s="24">
        <v>9</v>
      </c>
      <c r="J71" s="24" t="s">
        <v>52</v>
      </c>
      <c r="K71" s="30">
        <v>21313.23</v>
      </c>
      <c r="L71" s="30">
        <f>21528.52*0.99</f>
        <v>21313.234800000002</v>
      </c>
      <c r="M71" s="485"/>
      <c r="N71" s="323"/>
      <c r="O71" s="493" t="s">
        <v>44</v>
      </c>
      <c r="P71" s="2"/>
    </row>
    <row r="72" spans="1:16" ht="15.75" thickBot="1" x14ac:dyDescent="0.3">
      <c r="A72" s="486"/>
      <c r="B72" s="527"/>
      <c r="C72" s="486"/>
      <c r="D72" s="486"/>
      <c r="E72" s="516"/>
      <c r="F72" s="24" t="s">
        <v>77</v>
      </c>
      <c r="G72" s="24" t="s">
        <v>42</v>
      </c>
      <c r="H72" s="341">
        <v>280</v>
      </c>
      <c r="I72" s="24">
        <v>280</v>
      </c>
      <c r="J72" s="24" t="s">
        <v>52</v>
      </c>
      <c r="K72" s="30">
        <v>582079.41</v>
      </c>
      <c r="L72" s="30">
        <f>587959*0.99</f>
        <v>582079.41</v>
      </c>
      <c r="M72" s="486"/>
      <c r="N72" s="324"/>
      <c r="O72" s="494"/>
      <c r="P72" s="2" t="s">
        <v>45</v>
      </c>
    </row>
    <row r="73" spans="1:16" ht="23.25" thickBot="1" x14ac:dyDescent="0.3">
      <c r="A73" s="486"/>
      <c r="B73" s="527"/>
      <c r="C73" s="486"/>
      <c r="D73" s="486"/>
      <c r="E73" s="516"/>
      <c r="F73" s="24" t="s">
        <v>62</v>
      </c>
      <c r="G73" s="24" t="s">
        <v>63</v>
      </c>
      <c r="H73" s="341">
        <v>161</v>
      </c>
      <c r="I73" s="24">
        <v>161</v>
      </c>
      <c r="J73" s="24" t="s">
        <v>52</v>
      </c>
      <c r="K73" s="342">
        <v>135482.03</v>
      </c>
      <c r="L73" s="342">
        <f>136850.54*0.99</f>
        <v>135482.03460000001</v>
      </c>
      <c r="M73" s="486"/>
      <c r="N73" s="324"/>
      <c r="O73" s="494"/>
      <c r="P73" s="2"/>
    </row>
    <row r="74" spans="1:16" ht="15.75" thickBot="1" x14ac:dyDescent="0.3">
      <c r="A74" s="486"/>
      <c r="B74" s="527"/>
      <c r="C74" s="486"/>
      <c r="D74" s="486"/>
      <c r="E74" s="516"/>
      <c r="F74" s="24" t="s">
        <v>48</v>
      </c>
      <c r="G74" s="24" t="s">
        <v>42</v>
      </c>
      <c r="H74" s="30">
        <v>1462</v>
      </c>
      <c r="I74" s="30">
        <v>1462</v>
      </c>
      <c r="J74" s="24" t="s">
        <v>88</v>
      </c>
      <c r="K74" s="30">
        <v>217113.49</v>
      </c>
      <c r="L74" s="30">
        <v>217113.42</v>
      </c>
      <c r="M74" s="486"/>
      <c r="N74" s="324"/>
      <c r="O74" s="494"/>
      <c r="P74" s="2"/>
    </row>
    <row r="75" spans="1:16" ht="15.75" thickBot="1" x14ac:dyDescent="0.3">
      <c r="A75" s="486"/>
      <c r="B75" s="527"/>
      <c r="C75" s="486"/>
      <c r="D75" s="486"/>
      <c r="E75" s="516"/>
      <c r="F75" s="24" t="s">
        <v>65</v>
      </c>
      <c r="G75" s="24" t="s">
        <v>51</v>
      </c>
      <c r="H75" s="341">
        <v>1</v>
      </c>
      <c r="I75" s="24">
        <v>1</v>
      </c>
      <c r="J75" s="24" t="s">
        <v>66</v>
      </c>
      <c r="K75" s="342">
        <v>760353.84</v>
      </c>
      <c r="L75" s="342">
        <f>768034.18*0.99</f>
        <v>760353.8382</v>
      </c>
      <c r="M75" s="486"/>
      <c r="N75" s="324"/>
      <c r="O75" s="494"/>
      <c r="P75" s="2"/>
    </row>
    <row r="76" spans="1:16" ht="15.75" thickBot="1" x14ac:dyDescent="0.3">
      <c r="A76" s="486"/>
      <c r="B76" s="527"/>
      <c r="C76" s="486"/>
      <c r="D76" s="486"/>
      <c r="E76" s="516"/>
      <c r="F76" s="24" t="s">
        <v>67</v>
      </c>
      <c r="G76" s="24" t="s">
        <v>51</v>
      </c>
      <c r="H76" s="341">
        <v>1</v>
      </c>
      <c r="I76" s="24">
        <v>1</v>
      </c>
      <c r="J76" s="24" t="s">
        <v>73</v>
      </c>
      <c r="K76" s="342">
        <v>47480.6</v>
      </c>
      <c r="L76" s="342">
        <f>47960.2*0.99</f>
        <v>47480.597999999998</v>
      </c>
      <c r="M76" s="486"/>
      <c r="N76" s="324"/>
      <c r="O76" s="494"/>
      <c r="P76" s="2"/>
    </row>
    <row r="77" spans="1:16" ht="15.75" thickBot="1" x14ac:dyDescent="0.3">
      <c r="A77" s="486"/>
      <c r="B77" s="527"/>
      <c r="C77" s="486"/>
      <c r="D77" s="486"/>
      <c r="E77" s="516"/>
      <c r="F77" s="346" t="s">
        <v>69</v>
      </c>
      <c r="G77" s="24" t="s">
        <v>51</v>
      </c>
      <c r="H77" s="341">
        <v>5</v>
      </c>
      <c r="I77" s="24">
        <v>5</v>
      </c>
      <c r="J77" s="24" t="s">
        <v>66</v>
      </c>
      <c r="K77" s="342">
        <v>43929.599999999999</v>
      </c>
      <c r="L77" s="342">
        <f>44373.33*0.99</f>
        <v>43929.596700000002</v>
      </c>
      <c r="M77" s="486"/>
      <c r="N77" s="324"/>
      <c r="O77" s="494"/>
      <c r="P77" s="2"/>
    </row>
    <row r="78" spans="1:16" ht="15.75" thickBot="1" x14ac:dyDescent="0.3">
      <c r="A78" s="489"/>
      <c r="B78" s="528"/>
      <c r="C78" s="489"/>
      <c r="D78" s="489"/>
      <c r="E78" s="521"/>
      <c r="F78" s="24" t="s">
        <v>71</v>
      </c>
      <c r="G78" s="24" t="s">
        <v>51</v>
      </c>
      <c r="H78" s="341">
        <v>5</v>
      </c>
      <c r="I78" s="24">
        <v>5</v>
      </c>
      <c r="J78" s="24" t="s">
        <v>66</v>
      </c>
      <c r="K78" s="342">
        <v>25466.12</v>
      </c>
      <c r="L78" s="342">
        <f>25723.35*0.99</f>
        <v>25466.1165</v>
      </c>
      <c r="M78" s="489"/>
      <c r="N78" s="325"/>
      <c r="O78" s="522"/>
      <c r="P78" s="2"/>
    </row>
    <row r="79" spans="1:16" ht="15.75" thickBot="1" x14ac:dyDescent="0.3">
      <c r="A79" s="324"/>
      <c r="B79" s="332"/>
      <c r="C79" s="324"/>
      <c r="D79" s="324"/>
      <c r="E79" s="331"/>
      <c r="F79" s="24" t="s">
        <v>53</v>
      </c>
      <c r="G79" s="24"/>
      <c r="H79" s="24"/>
      <c r="I79" s="24"/>
      <c r="J79" s="24"/>
      <c r="K79" s="34">
        <f>SUM(K71:K78)</f>
        <v>1833218.3200000003</v>
      </c>
      <c r="L79" s="70">
        <f>SUM(L71:L78)</f>
        <v>1833218.2488000002</v>
      </c>
      <c r="M79" s="324"/>
      <c r="N79" s="324"/>
      <c r="O79" s="328"/>
      <c r="P79" s="2"/>
    </row>
    <row r="80" spans="1:16" ht="45.75" thickBot="1" x14ac:dyDescent="0.3">
      <c r="A80" s="485" t="s">
        <v>39</v>
      </c>
      <c r="B80" s="523" t="s">
        <v>89</v>
      </c>
      <c r="C80" s="485">
        <v>3</v>
      </c>
      <c r="D80" s="485"/>
      <c r="E80" s="519">
        <v>8000</v>
      </c>
      <c r="F80" s="24" t="s">
        <v>83</v>
      </c>
      <c r="G80" s="24" t="s">
        <v>42</v>
      </c>
      <c r="H80" s="341">
        <v>807.5</v>
      </c>
      <c r="I80" s="24">
        <v>807.5</v>
      </c>
      <c r="J80" s="24" t="s">
        <v>84</v>
      </c>
      <c r="K80" s="30">
        <v>700123</v>
      </c>
      <c r="L80" s="30">
        <f>699797.09*0.99*0.93</f>
        <v>644303.18076300004</v>
      </c>
      <c r="M80" s="485"/>
      <c r="N80" s="323"/>
      <c r="O80" s="493" t="s">
        <v>44</v>
      </c>
      <c r="P80" s="2"/>
    </row>
    <row r="81" spans="1:18" ht="15.75" thickBot="1" x14ac:dyDescent="0.3">
      <c r="A81" s="486"/>
      <c r="B81" s="524"/>
      <c r="C81" s="486"/>
      <c r="D81" s="486"/>
      <c r="E81" s="516"/>
      <c r="F81" s="24" t="s">
        <v>55</v>
      </c>
      <c r="G81" s="24" t="s">
        <v>42</v>
      </c>
      <c r="H81" s="341">
        <v>637.5</v>
      </c>
      <c r="I81" s="347">
        <v>673.5</v>
      </c>
      <c r="J81" s="24" t="s">
        <v>52</v>
      </c>
      <c r="K81" s="30">
        <v>900120.72</v>
      </c>
      <c r="L81" s="30">
        <f>898210.86*0.99*0.93</f>
        <v>826982.73880199995</v>
      </c>
      <c r="M81" s="486"/>
      <c r="N81" s="324"/>
      <c r="O81" s="494"/>
      <c r="P81" s="2" t="s">
        <v>45</v>
      </c>
    </row>
    <row r="82" spans="1:18" ht="15.75" thickBot="1" x14ac:dyDescent="0.3">
      <c r="A82" s="486"/>
      <c r="B82" s="524"/>
      <c r="C82" s="486"/>
      <c r="D82" s="486"/>
      <c r="E82" s="516"/>
      <c r="F82" s="24" t="s">
        <v>90</v>
      </c>
      <c r="G82" s="24" t="s">
        <v>42</v>
      </c>
      <c r="H82" s="342">
        <v>2284.4</v>
      </c>
      <c r="I82" s="30">
        <v>2284.4</v>
      </c>
      <c r="J82" s="24" t="s">
        <v>52</v>
      </c>
      <c r="K82" s="30">
        <v>5409641.5300000003</v>
      </c>
      <c r="L82" s="30">
        <f>5449194.32*0.99*0.93+62879.77</f>
        <v>5079952.9804240009</v>
      </c>
      <c r="M82" s="486"/>
      <c r="N82" s="324"/>
      <c r="O82" s="494"/>
      <c r="P82" s="2"/>
      <c r="Q82" s="8"/>
    </row>
    <row r="83" spans="1:18" ht="23.25" thickBot="1" x14ac:dyDescent="0.3">
      <c r="A83" s="486"/>
      <c r="B83" s="524"/>
      <c r="C83" s="486"/>
      <c r="D83" s="486"/>
      <c r="E83" s="516"/>
      <c r="F83" s="24" t="s">
        <v>91</v>
      </c>
      <c r="G83" s="24" t="s">
        <v>58</v>
      </c>
      <c r="H83" s="341">
        <v>124</v>
      </c>
      <c r="I83" s="24">
        <v>124</v>
      </c>
      <c r="J83" s="24" t="s">
        <v>47</v>
      </c>
      <c r="K83" s="342">
        <v>85931.83</v>
      </c>
      <c r="L83" s="342">
        <f>86409.21*0.99*0.93</f>
        <v>79556.959647000011</v>
      </c>
      <c r="M83" s="486"/>
      <c r="N83" s="324"/>
      <c r="O83" s="494"/>
      <c r="P83" s="2"/>
    </row>
    <row r="84" spans="1:18" ht="15.75" thickBot="1" x14ac:dyDescent="0.3">
      <c r="A84" s="486"/>
      <c r="B84" s="524"/>
      <c r="C84" s="486"/>
      <c r="D84" s="486"/>
      <c r="E84" s="516"/>
      <c r="F84" s="24" t="s">
        <v>48</v>
      </c>
      <c r="G84" s="24" t="s">
        <v>42</v>
      </c>
      <c r="H84" s="341">
        <v>830.9</v>
      </c>
      <c r="I84" s="24">
        <v>830.9</v>
      </c>
      <c r="J84" s="24" t="s">
        <v>88</v>
      </c>
      <c r="K84" s="30">
        <v>123388.13</v>
      </c>
      <c r="L84" s="30">
        <f>124634.48*0.99*0.93</f>
        <v>114750.965736</v>
      </c>
      <c r="M84" s="486"/>
      <c r="N84" s="324"/>
      <c r="O84" s="494"/>
      <c r="P84" s="2"/>
    </row>
    <row r="85" spans="1:18" ht="23.25" thickBot="1" x14ac:dyDescent="0.3">
      <c r="A85" s="486"/>
      <c r="B85" s="524"/>
      <c r="C85" s="486"/>
      <c r="D85" s="486"/>
      <c r="E85" s="516"/>
      <c r="F85" s="24" t="s">
        <v>92</v>
      </c>
      <c r="G85" s="24" t="s">
        <v>51</v>
      </c>
      <c r="H85" s="341">
        <v>14</v>
      </c>
      <c r="I85" s="24">
        <v>14</v>
      </c>
      <c r="J85" s="24" t="s">
        <v>52</v>
      </c>
      <c r="K85" s="30">
        <v>1358951.4</v>
      </c>
      <c r="L85" s="30">
        <f>1330913.75*0.99*0.93+62879.77</f>
        <v>1288252.0596250002</v>
      </c>
      <c r="M85" s="486"/>
      <c r="N85" s="324"/>
      <c r="O85" s="494"/>
      <c r="P85" s="2"/>
    </row>
    <row r="86" spans="1:18" ht="15.75" thickBot="1" x14ac:dyDescent="0.3">
      <c r="A86" s="486"/>
      <c r="B86" s="524"/>
      <c r="C86" s="486"/>
      <c r="D86" s="486"/>
      <c r="E86" s="516"/>
      <c r="F86" s="24" t="s">
        <v>81</v>
      </c>
      <c r="G86" s="24" t="s">
        <v>42</v>
      </c>
      <c r="H86" s="341">
        <v>96</v>
      </c>
      <c r="I86" s="24">
        <v>96</v>
      </c>
      <c r="J86" s="24" t="s">
        <v>52</v>
      </c>
      <c r="K86" s="30">
        <v>342101.22</v>
      </c>
      <c r="L86" s="30">
        <f>345556.79*0.99*0.93</f>
        <v>318154.13655299996</v>
      </c>
      <c r="M86" s="486"/>
      <c r="N86" s="324"/>
      <c r="O86" s="494"/>
      <c r="P86" s="2"/>
    </row>
    <row r="87" spans="1:18" ht="15.75" thickBot="1" x14ac:dyDescent="0.3">
      <c r="A87" s="489"/>
      <c r="B87" s="525"/>
      <c r="C87" s="489"/>
      <c r="D87" s="489"/>
      <c r="E87" s="521"/>
      <c r="F87" s="24" t="s">
        <v>50</v>
      </c>
      <c r="G87" s="25" t="s">
        <v>51</v>
      </c>
      <c r="H87" s="341">
        <v>30</v>
      </c>
      <c r="I87" s="25">
        <v>30</v>
      </c>
      <c r="J87" s="25" t="s">
        <v>52</v>
      </c>
      <c r="K87" s="30">
        <v>3129523.53</v>
      </c>
      <c r="L87" s="30">
        <f>3030935.66*0.99*0.93+62879.76</f>
        <v>2853462.2221619999</v>
      </c>
      <c r="M87" s="489"/>
      <c r="N87" s="325"/>
      <c r="O87" s="522"/>
      <c r="P87" s="2"/>
    </row>
    <row r="88" spans="1:18" thickBot="1" x14ac:dyDescent="0.35">
      <c r="A88" s="324"/>
      <c r="B88" s="332"/>
      <c r="C88" s="32"/>
      <c r="D88" s="35"/>
      <c r="E88" s="331"/>
      <c r="F88" s="47"/>
      <c r="G88" s="32"/>
      <c r="H88" s="32"/>
      <c r="I88" s="32"/>
      <c r="J88" s="32"/>
      <c r="K88" s="40">
        <f>SUM(K80:K87)</f>
        <v>12049781.359999999</v>
      </c>
      <c r="L88" s="348">
        <f>SUM(L80:L87)</f>
        <v>11205415.243712001</v>
      </c>
      <c r="M88" s="349"/>
      <c r="N88" s="350"/>
      <c r="O88" s="41"/>
      <c r="P88" s="6"/>
      <c r="Q88" s="8"/>
      <c r="R88" s="8"/>
    </row>
    <row r="89" spans="1:18" ht="15.75" thickBot="1" x14ac:dyDescent="0.3">
      <c r="A89" s="42"/>
      <c r="B89" s="43"/>
      <c r="C89" s="44"/>
      <c r="D89" s="45"/>
      <c r="E89" s="46"/>
      <c r="F89" s="47" t="s">
        <v>93</v>
      </c>
      <c r="G89" s="44"/>
      <c r="H89" s="44"/>
      <c r="I89" s="44"/>
      <c r="J89" s="44"/>
      <c r="K89" s="48">
        <f>K88+K79+K70+K67+K57+K47+K37+K27+K25+K20+K15</f>
        <v>43851985.239999995</v>
      </c>
      <c r="L89" s="49">
        <f>L15+L20+L25+L27+L37+L47+L57+L67+L70+L79+L88</f>
        <v>42978907.251432493</v>
      </c>
      <c r="M89" s="49">
        <f>M47</f>
        <v>21236.76</v>
      </c>
      <c r="N89" s="49">
        <v>873077.99</v>
      </c>
      <c r="O89" s="50"/>
      <c r="P89" s="51"/>
    </row>
    <row r="90" spans="1:18" x14ac:dyDescent="0.25">
      <c r="A90" s="486" t="s">
        <v>39</v>
      </c>
      <c r="B90" s="332" t="s">
        <v>80</v>
      </c>
      <c r="C90" s="32">
        <v>1</v>
      </c>
      <c r="D90" s="35"/>
      <c r="E90" s="52"/>
      <c r="F90" s="486" t="s">
        <v>94</v>
      </c>
      <c r="G90" s="486" t="s">
        <v>42</v>
      </c>
      <c r="H90" s="486">
        <v>335.6</v>
      </c>
      <c r="I90" s="324"/>
      <c r="J90" s="486" t="s">
        <v>47</v>
      </c>
      <c r="K90" s="516">
        <v>530422.39</v>
      </c>
      <c r="L90" s="516"/>
      <c r="M90" s="486"/>
      <c r="N90" s="324"/>
      <c r="O90" s="328"/>
      <c r="P90" s="4"/>
    </row>
    <row r="91" spans="1:18" x14ac:dyDescent="0.25">
      <c r="A91" s="486"/>
      <c r="B91" s="52" t="s">
        <v>95</v>
      </c>
      <c r="C91" s="32">
        <v>10</v>
      </c>
      <c r="D91" s="35"/>
      <c r="E91" s="53"/>
      <c r="F91" s="486"/>
      <c r="G91" s="486"/>
      <c r="H91" s="486"/>
      <c r="I91" s="324"/>
      <c r="J91" s="486"/>
      <c r="K91" s="516"/>
      <c r="L91" s="516"/>
      <c r="M91" s="486"/>
      <c r="N91" s="324"/>
      <c r="O91" s="328"/>
      <c r="P91" s="2"/>
    </row>
    <row r="92" spans="1:18" x14ac:dyDescent="0.25">
      <c r="A92" s="486"/>
      <c r="B92" s="52" t="s">
        <v>95</v>
      </c>
      <c r="C92" s="32">
        <v>6</v>
      </c>
      <c r="D92" s="35"/>
      <c r="E92" s="53"/>
      <c r="F92" s="486"/>
      <c r="G92" s="486"/>
      <c r="H92" s="486"/>
      <c r="I92" s="324"/>
      <c r="J92" s="486"/>
      <c r="K92" s="516"/>
      <c r="L92" s="516"/>
      <c r="M92" s="486"/>
      <c r="N92" s="324"/>
      <c r="O92" s="328"/>
      <c r="P92" s="2"/>
    </row>
    <row r="93" spans="1:18" ht="33.75" x14ac:dyDescent="0.25">
      <c r="A93" s="486"/>
      <c r="B93" s="52" t="s">
        <v>95</v>
      </c>
      <c r="C93" s="32">
        <v>32</v>
      </c>
      <c r="D93" s="35"/>
      <c r="E93" s="53"/>
      <c r="F93" s="486"/>
      <c r="G93" s="486"/>
      <c r="H93" s="486"/>
      <c r="I93" s="324">
        <v>330</v>
      </c>
      <c r="J93" s="486"/>
      <c r="K93" s="516"/>
      <c r="L93" s="516"/>
      <c r="M93" s="486"/>
      <c r="N93" s="324"/>
      <c r="O93" s="328" t="s">
        <v>96</v>
      </c>
      <c r="P93" s="2" t="s">
        <v>97</v>
      </c>
    </row>
    <row r="94" spans="1:18" x14ac:dyDescent="0.25">
      <c r="A94" s="486"/>
      <c r="B94" s="52" t="s">
        <v>95</v>
      </c>
      <c r="C94" s="32">
        <v>41</v>
      </c>
      <c r="D94" s="35"/>
      <c r="E94" s="53"/>
      <c r="F94" s="486"/>
      <c r="G94" s="486"/>
      <c r="H94" s="486"/>
      <c r="I94" s="324"/>
      <c r="J94" s="486"/>
      <c r="K94" s="516"/>
      <c r="L94" s="516"/>
      <c r="M94" s="486"/>
      <c r="N94" s="324"/>
      <c r="O94" s="328"/>
      <c r="P94" s="2"/>
    </row>
    <row r="95" spans="1:18" x14ac:dyDescent="0.25">
      <c r="A95" s="486"/>
      <c r="B95" s="52" t="s">
        <v>98</v>
      </c>
      <c r="C95" s="32">
        <v>3</v>
      </c>
      <c r="D95" s="35"/>
      <c r="E95" s="53"/>
      <c r="F95" s="486"/>
      <c r="G95" s="486"/>
      <c r="H95" s="486"/>
      <c r="I95" s="324"/>
      <c r="J95" s="486"/>
      <c r="K95" s="516"/>
      <c r="L95" s="516"/>
      <c r="M95" s="486"/>
      <c r="N95" s="324"/>
      <c r="O95" s="328"/>
      <c r="P95" s="2"/>
    </row>
    <row r="96" spans="1:18" ht="15.75" thickBot="1" x14ac:dyDescent="0.3">
      <c r="A96" s="486"/>
      <c r="B96" s="52" t="s">
        <v>99</v>
      </c>
      <c r="C96" s="32">
        <v>11</v>
      </c>
      <c r="D96" s="35"/>
      <c r="E96" s="53"/>
      <c r="F96" s="512"/>
      <c r="G96" s="512"/>
      <c r="H96" s="512"/>
      <c r="I96" s="324"/>
      <c r="J96" s="489"/>
      <c r="K96" s="521"/>
      <c r="L96" s="517"/>
      <c r="M96" s="486"/>
      <c r="N96" s="324"/>
      <c r="O96" s="328"/>
      <c r="P96" s="2"/>
    </row>
    <row r="97" spans="1:16" x14ac:dyDescent="0.25">
      <c r="A97" s="486"/>
      <c r="B97" s="52" t="s">
        <v>14</v>
      </c>
      <c r="C97" s="32">
        <v>6</v>
      </c>
      <c r="D97" s="35"/>
      <c r="E97" s="53"/>
      <c r="F97" s="518" t="s">
        <v>100</v>
      </c>
      <c r="G97" s="518" t="s">
        <v>63</v>
      </c>
      <c r="H97" s="518">
        <v>212</v>
      </c>
      <c r="I97" s="324"/>
      <c r="J97" s="485" t="s">
        <v>47</v>
      </c>
      <c r="K97" s="519">
        <v>228123</v>
      </c>
      <c r="L97" s="520"/>
      <c r="M97" s="486"/>
      <c r="N97" s="324"/>
      <c r="O97" s="328"/>
      <c r="P97" s="2"/>
    </row>
    <row r="98" spans="1:16" x14ac:dyDescent="0.25">
      <c r="A98" s="486"/>
      <c r="B98" s="52" t="s">
        <v>101</v>
      </c>
      <c r="C98" s="32">
        <v>10</v>
      </c>
      <c r="D98" s="35"/>
      <c r="E98" s="53"/>
      <c r="F98" s="486"/>
      <c r="G98" s="486"/>
      <c r="H98" s="486"/>
      <c r="I98" s="324"/>
      <c r="J98" s="486"/>
      <c r="K98" s="516"/>
      <c r="L98" s="516"/>
      <c r="M98" s="486"/>
      <c r="N98" s="324"/>
      <c r="O98" s="328"/>
      <c r="P98" s="2"/>
    </row>
    <row r="99" spans="1:16" x14ac:dyDescent="0.25">
      <c r="A99" s="486"/>
      <c r="B99" s="52" t="s">
        <v>102</v>
      </c>
      <c r="C99" s="32">
        <v>30</v>
      </c>
      <c r="D99" s="35"/>
      <c r="E99" s="53"/>
      <c r="F99" s="486"/>
      <c r="G99" s="486"/>
      <c r="H99" s="486"/>
      <c r="I99" s="324"/>
      <c r="J99" s="486"/>
      <c r="K99" s="516"/>
      <c r="L99" s="516"/>
      <c r="M99" s="486"/>
      <c r="N99" s="324"/>
      <c r="O99" s="328"/>
      <c r="P99" s="2"/>
    </row>
    <row r="100" spans="1:16" x14ac:dyDescent="0.25">
      <c r="A100" s="486"/>
      <c r="B100" s="52" t="s">
        <v>103</v>
      </c>
      <c r="C100" s="32">
        <v>22</v>
      </c>
      <c r="D100" s="35"/>
      <c r="E100" s="53"/>
      <c r="F100" s="486"/>
      <c r="G100" s="486"/>
      <c r="H100" s="486"/>
      <c r="I100" s="324"/>
      <c r="J100" s="486"/>
      <c r="K100" s="516"/>
      <c r="L100" s="516"/>
      <c r="M100" s="486"/>
      <c r="N100" s="324"/>
      <c r="O100" s="328"/>
      <c r="P100" s="2"/>
    </row>
    <row r="101" spans="1:16" x14ac:dyDescent="0.25">
      <c r="A101" s="486"/>
      <c r="B101" s="52" t="s">
        <v>104</v>
      </c>
      <c r="C101" s="32">
        <v>21</v>
      </c>
      <c r="D101" s="35"/>
      <c r="E101" s="52"/>
      <c r="F101" s="486"/>
      <c r="G101" s="486"/>
      <c r="H101" s="486"/>
      <c r="I101" s="324">
        <v>250.18</v>
      </c>
      <c r="J101" s="486"/>
      <c r="K101" s="516"/>
      <c r="L101" s="516"/>
      <c r="M101" s="486"/>
      <c r="N101" s="324"/>
      <c r="O101" s="328"/>
      <c r="P101" s="2"/>
    </row>
    <row r="102" spans="1:16" x14ac:dyDescent="0.25">
      <c r="A102" s="486"/>
      <c r="B102" s="52" t="s">
        <v>105</v>
      </c>
      <c r="C102" s="32">
        <v>4</v>
      </c>
      <c r="D102" s="35"/>
      <c r="E102" s="53"/>
      <c r="F102" s="486"/>
      <c r="G102" s="486"/>
      <c r="H102" s="486"/>
      <c r="I102" s="324"/>
      <c r="J102" s="486"/>
      <c r="K102" s="516"/>
      <c r="L102" s="516"/>
      <c r="M102" s="486"/>
      <c r="N102" s="324"/>
      <c r="O102" s="328"/>
      <c r="P102" s="2"/>
    </row>
    <row r="103" spans="1:16" x14ac:dyDescent="0.25">
      <c r="A103" s="486"/>
      <c r="B103" s="52" t="s">
        <v>106</v>
      </c>
      <c r="C103" s="32">
        <v>1</v>
      </c>
      <c r="D103" s="35"/>
      <c r="E103" s="52"/>
      <c r="F103" s="486"/>
      <c r="G103" s="486"/>
      <c r="H103" s="486"/>
      <c r="I103" s="324"/>
      <c r="J103" s="486"/>
      <c r="K103" s="516"/>
      <c r="L103" s="516"/>
      <c r="M103" s="486"/>
      <c r="N103" s="324"/>
      <c r="O103" s="328"/>
      <c r="P103" s="2"/>
    </row>
    <row r="104" spans="1:16" ht="15.75" thickBot="1" x14ac:dyDescent="0.3">
      <c r="A104" s="486"/>
      <c r="B104" s="52" t="s">
        <v>107</v>
      </c>
      <c r="C104" s="32">
        <v>6</v>
      </c>
      <c r="D104" s="35"/>
      <c r="E104" s="52"/>
      <c r="F104" s="486"/>
      <c r="G104" s="486"/>
      <c r="H104" s="486"/>
      <c r="I104" s="324"/>
      <c r="J104" s="486"/>
      <c r="K104" s="516"/>
      <c r="L104" s="516"/>
      <c r="M104" s="486"/>
      <c r="N104" s="324"/>
      <c r="O104" s="328"/>
      <c r="P104" s="6"/>
    </row>
    <row r="105" spans="1:16" ht="15.75" thickBot="1" x14ac:dyDescent="0.3">
      <c r="A105" s="42"/>
      <c r="B105" s="54"/>
      <c r="C105" s="44"/>
      <c r="D105" s="45"/>
      <c r="E105" s="54"/>
      <c r="F105" s="47" t="s">
        <v>108</v>
      </c>
      <c r="G105" s="44"/>
      <c r="H105" s="44"/>
      <c r="I105" s="44"/>
      <c r="J105" s="44"/>
      <c r="K105" s="49">
        <f>SUM(K90:K104)</f>
        <v>758545.39</v>
      </c>
      <c r="L105" s="49">
        <v>723785.13</v>
      </c>
      <c r="M105" s="55"/>
      <c r="N105" s="55">
        <v>30100.98</v>
      </c>
      <c r="O105" s="56"/>
      <c r="P105" s="51"/>
    </row>
    <row r="106" spans="1:16" ht="23.25" thickBot="1" x14ac:dyDescent="0.3">
      <c r="A106" s="42"/>
      <c r="B106" s="54"/>
      <c r="C106" s="44"/>
      <c r="D106" s="45"/>
      <c r="E106" s="54"/>
      <c r="F106" s="77" t="s">
        <v>572</v>
      </c>
      <c r="G106" s="44"/>
      <c r="H106" s="44"/>
      <c r="I106" s="44"/>
      <c r="J106" s="44"/>
      <c r="K106" s="48"/>
      <c r="L106" s="49">
        <v>70206.22</v>
      </c>
      <c r="M106" s="63"/>
      <c r="N106" s="63"/>
      <c r="O106" s="351" t="s">
        <v>168</v>
      </c>
      <c r="P106" s="51" t="s">
        <v>400</v>
      </c>
    </row>
    <row r="107" spans="1:16" ht="45.75" thickBot="1" x14ac:dyDescent="0.3">
      <c r="A107" s="486" t="s">
        <v>39</v>
      </c>
      <c r="B107" s="499" t="s">
        <v>107</v>
      </c>
      <c r="C107" s="486">
        <v>6</v>
      </c>
      <c r="D107" s="486"/>
      <c r="E107" s="514">
        <v>7200</v>
      </c>
      <c r="F107" s="25" t="s">
        <v>46</v>
      </c>
      <c r="G107" s="25" t="s">
        <v>42</v>
      </c>
      <c r="H107" s="341">
        <v>315</v>
      </c>
      <c r="I107" s="24">
        <v>315</v>
      </c>
      <c r="J107" s="25" t="s">
        <v>47</v>
      </c>
      <c r="K107" s="27">
        <v>753480</v>
      </c>
      <c r="L107" s="30">
        <f t="shared" ref="L107:L114" si="0">K107</f>
        <v>753480</v>
      </c>
      <c r="M107" s="486"/>
      <c r="N107" s="324"/>
      <c r="O107" s="494" t="s">
        <v>109</v>
      </c>
      <c r="P107" s="4"/>
    </row>
    <row r="108" spans="1:16" ht="15.75" thickBot="1" x14ac:dyDescent="0.3">
      <c r="A108" s="486"/>
      <c r="B108" s="499"/>
      <c r="C108" s="486"/>
      <c r="D108" s="486"/>
      <c r="E108" s="514"/>
      <c r="F108" s="25" t="s">
        <v>77</v>
      </c>
      <c r="G108" s="25" t="s">
        <v>42</v>
      </c>
      <c r="H108" s="341">
        <v>259</v>
      </c>
      <c r="I108" s="24">
        <f>140+119</f>
        <v>259</v>
      </c>
      <c r="J108" s="25" t="s">
        <v>47</v>
      </c>
      <c r="K108" s="27">
        <v>543900</v>
      </c>
      <c r="L108" s="30">
        <f t="shared" si="0"/>
        <v>543900</v>
      </c>
      <c r="M108" s="486"/>
      <c r="N108" s="324"/>
      <c r="O108" s="494"/>
      <c r="P108" s="2"/>
    </row>
    <row r="109" spans="1:16" ht="23.25" thickBot="1" x14ac:dyDescent="0.3">
      <c r="A109" s="486"/>
      <c r="B109" s="499"/>
      <c r="C109" s="486"/>
      <c r="D109" s="486"/>
      <c r="E109" s="514"/>
      <c r="F109" s="24" t="s">
        <v>62</v>
      </c>
      <c r="G109" s="25" t="s">
        <v>63</v>
      </c>
      <c r="H109" s="341">
        <v>125</v>
      </c>
      <c r="I109" s="25">
        <v>125</v>
      </c>
      <c r="J109" s="24" t="s">
        <v>52</v>
      </c>
      <c r="K109" s="344">
        <v>100000</v>
      </c>
      <c r="L109" s="342">
        <f t="shared" si="0"/>
        <v>100000</v>
      </c>
      <c r="M109" s="486"/>
      <c r="N109" s="324"/>
      <c r="O109" s="494"/>
      <c r="P109" s="2"/>
    </row>
    <row r="110" spans="1:16" ht="15.75" thickBot="1" x14ac:dyDescent="0.3">
      <c r="A110" s="486"/>
      <c r="B110" s="499"/>
      <c r="C110" s="486"/>
      <c r="D110" s="486"/>
      <c r="E110" s="514"/>
      <c r="F110" s="24" t="s">
        <v>65</v>
      </c>
      <c r="G110" s="24" t="s">
        <v>51</v>
      </c>
      <c r="H110" s="341">
        <v>2</v>
      </c>
      <c r="I110" s="24">
        <v>2</v>
      </c>
      <c r="J110" s="24" t="s">
        <v>66</v>
      </c>
      <c r="K110" s="344">
        <v>1408560.36</v>
      </c>
      <c r="L110" s="342">
        <f t="shared" si="0"/>
        <v>1408560.36</v>
      </c>
      <c r="M110" s="486"/>
      <c r="N110" s="324"/>
      <c r="O110" s="494"/>
      <c r="P110" s="2" t="s">
        <v>110</v>
      </c>
    </row>
    <row r="111" spans="1:16" ht="15.75" thickBot="1" x14ac:dyDescent="0.3">
      <c r="A111" s="486"/>
      <c r="B111" s="499"/>
      <c r="C111" s="486"/>
      <c r="D111" s="486"/>
      <c r="E111" s="514"/>
      <c r="F111" s="24" t="s">
        <v>69</v>
      </c>
      <c r="G111" s="24" t="s">
        <v>51</v>
      </c>
      <c r="H111" s="341">
        <v>11</v>
      </c>
      <c r="I111" s="24">
        <v>11</v>
      </c>
      <c r="J111" s="24" t="s">
        <v>66</v>
      </c>
      <c r="K111" s="344">
        <v>87999.82</v>
      </c>
      <c r="L111" s="342">
        <f t="shared" si="0"/>
        <v>87999.82</v>
      </c>
      <c r="M111" s="486"/>
      <c r="N111" s="324"/>
      <c r="O111" s="494"/>
      <c r="P111" s="2"/>
    </row>
    <row r="112" spans="1:16" ht="15.75" thickBot="1" x14ac:dyDescent="0.3">
      <c r="A112" s="486"/>
      <c r="B112" s="499"/>
      <c r="C112" s="486"/>
      <c r="D112" s="486"/>
      <c r="E112" s="514"/>
      <c r="F112" s="24" t="s">
        <v>71</v>
      </c>
      <c r="G112" s="24" t="s">
        <v>51</v>
      </c>
      <c r="H112" s="341">
        <v>11</v>
      </c>
      <c r="I112" s="24">
        <v>11</v>
      </c>
      <c r="J112" s="24" t="s">
        <v>66</v>
      </c>
      <c r="K112" s="344">
        <v>33002.18</v>
      </c>
      <c r="L112" s="342">
        <f t="shared" si="0"/>
        <v>33002.18</v>
      </c>
      <c r="M112" s="486"/>
      <c r="N112" s="324"/>
      <c r="O112" s="494"/>
      <c r="P112" s="2"/>
    </row>
    <row r="113" spans="1:17" ht="34.5" thickBot="1" x14ac:dyDescent="0.3">
      <c r="A113" s="486"/>
      <c r="B113" s="499"/>
      <c r="C113" s="486"/>
      <c r="D113" s="486"/>
      <c r="E113" s="514"/>
      <c r="F113" s="25" t="s">
        <v>111</v>
      </c>
      <c r="G113" s="25" t="s">
        <v>42</v>
      </c>
      <c r="H113" s="341">
        <v>77</v>
      </c>
      <c r="I113" s="25">
        <v>77</v>
      </c>
      <c r="J113" s="25" t="s">
        <v>111</v>
      </c>
      <c r="K113" s="27">
        <v>66220</v>
      </c>
      <c r="L113" s="30">
        <f t="shared" si="0"/>
        <v>66220</v>
      </c>
      <c r="M113" s="486"/>
      <c r="N113" s="324"/>
      <c r="O113" s="494"/>
      <c r="P113" s="2"/>
    </row>
    <row r="114" spans="1:17" ht="15.75" thickBot="1" x14ac:dyDescent="0.3">
      <c r="A114" s="512"/>
      <c r="B114" s="513"/>
      <c r="C114" s="512"/>
      <c r="D114" s="512"/>
      <c r="E114" s="515"/>
      <c r="F114" s="25" t="s">
        <v>67</v>
      </c>
      <c r="G114" s="25" t="s">
        <v>51</v>
      </c>
      <c r="H114" s="341">
        <v>6</v>
      </c>
      <c r="I114" s="25">
        <v>6</v>
      </c>
      <c r="J114" s="25" t="s">
        <v>112</v>
      </c>
      <c r="K114" s="344">
        <v>304674.64</v>
      </c>
      <c r="L114" s="342">
        <f t="shared" si="0"/>
        <v>304674.64</v>
      </c>
      <c r="M114" s="512"/>
      <c r="N114" s="327"/>
      <c r="O114" s="502"/>
      <c r="P114" s="2"/>
    </row>
    <row r="115" spans="1:17" ht="15.75" thickBot="1" x14ac:dyDescent="0.3">
      <c r="A115" s="324"/>
      <c r="B115" s="52"/>
      <c r="C115" s="324"/>
      <c r="D115" s="324"/>
      <c r="E115" s="330"/>
      <c r="F115" s="24" t="s">
        <v>53</v>
      </c>
      <c r="G115" s="25"/>
      <c r="H115" s="25"/>
      <c r="I115" s="25"/>
      <c r="J115" s="25"/>
      <c r="K115" s="57">
        <f>SUM(K107:K114)</f>
        <v>3297837.0000000005</v>
      </c>
      <c r="L115" s="29">
        <f>3203518.86+M115</f>
        <v>3297837</v>
      </c>
      <c r="M115" s="38">
        <v>94318.14</v>
      </c>
      <c r="N115" s="350"/>
      <c r="O115" s="328"/>
      <c r="P115" s="2"/>
    </row>
    <row r="116" spans="1:17" ht="18" customHeight="1" thickBot="1" x14ac:dyDescent="0.3">
      <c r="A116" s="503" t="s">
        <v>39</v>
      </c>
      <c r="B116" s="505" t="s">
        <v>113</v>
      </c>
      <c r="C116" s="503">
        <v>6</v>
      </c>
      <c r="D116" s="503"/>
      <c r="E116" s="507">
        <v>4884</v>
      </c>
      <c r="F116" s="24" t="s">
        <v>48</v>
      </c>
      <c r="G116" s="24" t="s">
        <v>42</v>
      </c>
      <c r="H116" s="342">
        <v>1120</v>
      </c>
      <c r="I116" s="30">
        <v>1120</v>
      </c>
      <c r="J116" s="24" t="s">
        <v>43</v>
      </c>
      <c r="K116" s="27">
        <v>168000</v>
      </c>
      <c r="L116" s="30">
        <f>K116</f>
        <v>168000</v>
      </c>
      <c r="M116" s="503"/>
      <c r="N116" s="329"/>
      <c r="O116" s="510" t="s">
        <v>109</v>
      </c>
      <c r="P116" s="2"/>
    </row>
    <row r="117" spans="1:17" ht="23.25" thickBot="1" x14ac:dyDescent="0.3">
      <c r="A117" s="504"/>
      <c r="B117" s="506"/>
      <c r="C117" s="504"/>
      <c r="D117" s="504"/>
      <c r="E117" s="508"/>
      <c r="F117" s="24" t="s">
        <v>62</v>
      </c>
      <c r="G117" s="24" t="s">
        <v>58</v>
      </c>
      <c r="H117" s="341">
        <v>376</v>
      </c>
      <c r="I117" s="24">
        <v>376</v>
      </c>
      <c r="J117" s="24" t="s">
        <v>47</v>
      </c>
      <c r="K117" s="344">
        <v>315486.18</v>
      </c>
      <c r="L117" s="342">
        <f>K117</f>
        <v>315486.18</v>
      </c>
      <c r="M117" s="509"/>
      <c r="N117" s="52"/>
      <c r="O117" s="511"/>
      <c r="P117" s="2" t="s">
        <v>110</v>
      </c>
    </row>
    <row r="118" spans="1:17" ht="15.75" thickBot="1" x14ac:dyDescent="0.3">
      <c r="A118" s="52"/>
      <c r="B118" s="58"/>
      <c r="C118" s="39"/>
      <c r="D118" s="39"/>
      <c r="E118" s="59"/>
      <c r="F118" s="39" t="s">
        <v>53</v>
      </c>
      <c r="G118" s="39"/>
      <c r="H118" s="39"/>
      <c r="I118" s="39"/>
      <c r="J118" s="39"/>
      <c r="K118" s="60">
        <f>SUM(K116:K117)</f>
        <v>483486.18</v>
      </c>
      <c r="L118" s="61">
        <f>SUM(L116:L117)</f>
        <v>483486.18</v>
      </c>
      <c r="M118" s="39"/>
      <c r="N118" s="39"/>
      <c r="O118" s="62"/>
      <c r="P118" s="6"/>
    </row>
    <row r="119" spans="1:17" ht="15.75" thickBot="1" x14ac:dyDescent="0.3">
      <c r="A119" s="63"/>
      <c r="B119" s="64"/>
      <c r="C119" s="65"/>
      <c r="D119" s="65"/>
      <c r="E119" s="66"/>
      <c r="F119" s="47" t="s">
        <v>114</v>
      </c>
      <c r="G119" s="65"/>
      <c r="H119" s="65"/>
      <c r="I119" s="65"/>
      <c r="J119" s="65"/>
      <c r="K119" s="66">
        <f>K115+K118</f>
        <v>3781323.1800000006</v>
      </c>
      <c r="L119" s="49">
        <f>L115+L118</f>
        <v>3781323.18</v>
      </c>
      <c r="M119" s="47">
        <f>M115</f>
        <v>94318.14</v>
      </c>
      <c r="N119" s="47"/>
      <c r="O119" s="67"/>
      <c r="P119" s="11"/>
    </row>
    <row r="120" spans="1:17" ht="23.25" thickBot="1" x14ac:dyDescent="0.3">
      <c r="A120" s="114"/>
      <c r="B120" s="26"/>
      <c r="C120" s="24"/>
      <c r="D120" s="24"/>
      <c r="E120" s="26"/>
      <c r="F120" s="24" t="s">
        <v>115</v>
      </c>
      <c r="G120" s="24"/>
      <c r="H120" s="24"/>
      <c r="I120" s="24"/>
      <c r="J120" s="24" t="s">
        <v>116</v>
      </c>
      <c r="K120" s="344">
        <v>504296.58</v>
      </c>
      <c r="L120" s="342">
        <v>434090.36</v>
      </c>
      <c r="M120" s="24"/>
      <c r="N120" s="24"/>
      <c r="O120" s="352" t="s">
        <v>117</v>
      </c>
      <c r="P120" s="4" t="s">
        <v>118</v>
      </c>
      <c r="Q120" s="62"/>
    </row>
    <row r="121" spans="1:17" ht="15.75" thickBot="1" x14ac:dyDescent="0.3">
      <c r="A121" s="114"/>
      <c r="B121" s="26"/>
      <c r="C121" s="24"/>
      <c r="D121" s="24"/>
      <c r="E121" s="26"/>
      <c r="F121" s="47" t="s">
        <v>573</v>
      </c>
      <c r="G121" s="24"/>
      <c r="H121" s="24"/>
      <c r="I121" s="24"/>
      <c r="J121" s="24"/>
      <c r="K121" s="69">
        <f>K120</f>
        <v>504296.58</v>
      </c>
      <c r="L121" s="70">
        <f>SUM(L120)</f>
        <v>434090.36</v>
      </c>
      <c r="M121" s="24"/>
      <c r="N121" s="24"/>
      <c r="O121" s="68"/>
      <c r="P121" s="2"/>
    </row>
    <row r="122" spans="1:17" ht="45.75" thickBot="1" x14ac:dyDescent="0.3">
      <c r="A122" s="485" t="s">
        <v>39</v>
      </c>
      <c r="B122" s="498" t="s">
        <v>119</v>
      </c>
      <c r="C122" s="485">
        <v>3</v>
      </c>
      <c r="D122" s="485"/>
      <c r="E122" s="500">
        <v>3130.9</v>
      </c>
      <c r="F122" s="77" t="s">
        <v>120</v>
      </c>
      <c r="G122" s="44" t="s">
        <v>121</v>
      </c>
      <c r="H122" s="44">
        <v>21</v>
      </c>
      <c r="I122" s="77">
        <v>21</v>
      </c>
      <c r="J122" s="77" t="s">
        <v>47</v>
      </c>
      <c r="K122" s="382">
        <v>28343.119999999999</v>
      </c>
      <c r="L122" s="382">
        <f>23615.96*1.18*0.9149</f>
        <v>25495.36532872</v>
      </c>
      <c r="M122" s="485">
        <v>13968.04</v>
      </c>
      <c r="N122" s="485">
        <v>14083.48</v>
      </c>
      <c r="O122" s="487" t="s">
        <v>122</v>
      </c>
      <c r="P122" s="487" t="s">
        <v>123</v>
      </c>
    </row>
    <row r="123" spans="1:17" ht="23.25" thickBot="1" x14ac:dyDescent="0.3">
      <c r="A123" s="486"/>
      <c r="B123" s="499"/>
      <c r="C123" s="486"/>
      <c r="D123" s="486"/>
      <c r="E123" s="501"/>
      <c r="F123" s="24" t="s">
        <v>124</v>
      </c>
      <c r="G123" s="24" t="s">
        <v>121</v>
      </c>
      <c r="H123" s="341">
        <v>24</v>
      </c>
      <c r="I123" s="24">
        <v>24</v>
      </c>
      <c r="J123" s="24" t="s">
        <v>47</v>
      </c>
      <c r="K123" s="30">
        <v>262729.69</v>
      </c>
      <c r="L123" s="30">
        <f>212648.94*1.18*0.9149</f>
        <v>229571.96794308</v>
      </c>
      <c r="M123" s="486"/>
      <c r="N123" s="486"/>
      <c r="O123" s="488"/>
      <c r="P123" s="488"/>
    </row>
    <row r="124" spans="1:17" ht="15.75" thickBot="1" x14ac:dyDescent="0.3">
      <c r="A124" s="486"/>
      <c r="B124" s="499"/>
      <c r="C124" s="486"/>
      <c r="D124" s="486"/>
      <c r="E124" s="501"/>
      <c r="F124" s="24" t="s">
        <v>77</v>
      </c>
      <c r="G124" s="25" t="s">
        <v>121</v>
      </c>
      <c r="H124" s="341">
        <v>360.44</v>
      </c>
      <c r="I124" s="24">
        <v>360.44</v>
      </c>
      <c r="J124" s="24" t="s">
        <v>47</v>
      </c>
      <c r="K124" s="30">
        <v>756924.78</v>
      </c>
      <c r="L124" s="30">
        <f>638946.57*1.18*0.9149</f>
        <v>689795.21593373991</v>
      </c>
      <c r="M124" s="486"/>
      <c r="N124" s="486"/>
      <c r="O124" s="488"/>
      <c r="P124" s="488"/>
    </row>
    <row r="125" spans="1:17" ht="15.75" thickBot="1" x14ac:dyDescent="0.3">
      <c r="A125" s="486"/>
      <c r="B125" s="499"/>
      <c r="C125" s="486"/>
      <c r="D125" s="486"/>
      <c r="E125" s="501"/>
      <c r="F125" s="24" t="s">
        <v>48</v>
      </c>
      <c r="G125" s="24" t="s">
        <v>121</v>
      </c>
      <c r="H125" s="341">
        <v>337.5</v>
      </c>
      <c r="I125" s="24">
        <v>337.5</v>
      </c>
      <c r="J125" s="24" t="s">
        <v>43</v>
      </c>
      <c r="K125" s="30">
        <v>50751.91</v>
      </c>
      <c r="L125" s="30">
        <f>43010.09*1.18*0.9149</f>
        <v>46432.918982379997</v>
      </c>
      <c r="M125" s="486"/>
      <c r="N125" s="486"/>
      <c r="O125" s="488"/>
      <c r="P125" s="488"/>
    </row>
    <row r="126" spans="1:17" ht="23.25" thickBot="1" x14ac:dyDescent="0.3">
      <c r="A126" s="486"/>
      <c r="B126" s="499"/>
      <c r="C126" s="486"/>
      <c r="D126" s="486"/>
      <c r="E126" s="501"/>
      <c r="F126" s="39" t="s">
        <v>62</v>
      </c>
      <c r="G126" s="32" t="s">
        <v>63</v>
      </c>
      <c r="H126" s="353">
        <v>6</v>
      </c>
      <c r="I126" s="39">
        <v>6</v>
      </c>
      <c r="J126" s="39" t="s">
        <v>52</v>
      </c>
      <c r="K126" s="354">
        <v>5100.1099999999997</v>
      </c>
      <c r="L126" s="354">
        <f>4301.06*1.18*0.9149</f>
        <v>4643.3469569199997</v>
      </c>
      <c r="M126" s="486"/>
      <c r="N126" s="486"/>
      <c r="O126" s="488"/>
      <c r="P126" s="488"/>
    </row>
    <row r="127" spans="1:17" ht="15.75" thickBot="1" x14ac:dyDescent="0.3">
      <c r="A127" s="355"/>
      <c r="B127" s="18"/>
      <c r="C127" s="179"/>
      <c r="D127" s="179"/>
      <c r="E127" s="181">
        <v>3130.9</v>
      </c>
      <c r="F127" s="47" t="s">
        <v>308</v>
      </c>
      <c r="G127" s="18"/>
      <c r="H127" s="18"/>
      <c r="I127" s="18"/>
      <c r="J127" s="356">
        <v>1010022.3</v>
      </c>
      <c r="K127" s="357">
        <v>1103849.6100000001</v>
      </c>
      <c r="L127" s="357">
        <f>981970.78+M127</f>
        <v>995938.82000000007</v>
      </c>
      <c r="M127" s="47">
        <f>M122</f>
        <v>13968.04</v>
      </c>
      <c r="N127" s="179">
        <f>N122</f>
        <v>14083.48</v>
      </c>
      <c r="O127" s="81"/>
      <c r="P127" s="82"/>
      <c r="Q127" s="8"/>
    </row>
    <row r="128" spans="1:17" ht="15.75" thickBot="1" x14ac:dyDescent="0.3">
      <c r="A128" s="358"/>
      <c r="B128" s="336"/>
      <c r="C128" s="359"/>
      <c r="D128" s="359"/>
      <c r="E128" s="182"/>
      <c r="F128" s="360" t="s">
        <v>574</v>
      </c>
      <c r="G128" s="336"/>
      <c r="H128" s="336"/>
      <c r="I128" s="336"/>
      <c r="J128" s="182"/>
      <c r="K128" s="182">
        <f>K89+K105+K119+K121+K127</f>
        <v>49999999.999999993</v>
      </c>
      <c r="L128" s="339">
        <f>L89+L105+L106+L119+L121+L127</f>
        <v>48984250.961432494</v>
      </c>
      <c r="M128" s="182">
        <f>M127+M119+M89</f>
        <v>129522.93999999999</v>
      </c>
      <c r="N128" s="182">
        <f>N127+N105+N89</f>
        <v>917262.45</v>
      </c>
      <c r="O128" s="81"/>
      <c r="P128" s="82"/>
    </row>
    <row r="129" spans="1:20" ht="21" x14ac:dyDescent="0.25">
      <c r="A129" s="73"/>
      <c r="B129" s="74"/>
      <c r="C129" s="73"/>
      <c r="D129" s="73"/>
      <c r="E129" s="75"/>
      <c r="F129" s="74"/>
      <c r="G129" s="74"/>
      <c r="H129" s="74"/>
      <c r="I129" s="74"/>
      <c r="J129" s="75"/>
      <c r="K129" s="243" t="s">
        <v>309</v>
      </c>
      <c r="L129" s="243">
        <f>L128-L130-L131-L132</f>
        <v>35989963.860401832</v>
      </c>
      <c r="M129" s="73"/>
      <c r="N129" s="73"/>
    </row>
    <row r="130" spans="1:20" ht="31.5" x14ac:dyDescent="0.25">
      <c r="A130" s="73"/>
      <c r="B130" s="74"/>
      <c r="C130" s="73"/>
      <c r="D130" s="73"/>
      <c r="E130" s="75"/>
      <c r="F130" s="74"/>
      <c r="G130" s="74"/>
      <c r="H130" s="74"/>
      <c r="I130" s="74"/>
      <c r="J130" s="75"/>
      <c r="K130" s="243" t="s">
        <v>310</v>
      </c>
      <c r="L130" s="243">
        <v>723785.13</v>
      </c>
      <c r="M130" s="73"/>
      <c r="N130" s="73"/>
    </row>
    <row r="131" spans="1:20" x14ac:dyDescent="0.25">
      <c r="A131" s="73"/>
      <c r="B131" s="74"/>
      <c r="C131" s="73"/>
      <c r="D131" s="73"/>
      <c r="E131" s="75"/>
      <c r="F131" s="74"/>
      <c r="G131" s="74"/>
      <c r="H131" s="74"/>
      <c r="I131" s="74"/>
      <c r="J131" s="75"/>
      <c r="K131" s="243" t="s">
        <v>311</v>
      </c>
      <c r="L131" s="243">
        <v>504296.57999999996</v>
      </c>
      <c r="M131" s="73"/>
      <c r="N131" s="73"/>
    </row>
    <row r="132" spans="1:20" ht="21" x14ac:dyDescent="0.25">
      <c r="A132" s="73"/>
      <c r="B132" s="74"/>
      <c r="C132" s="73"/>
      <c r="D132" s="73"/>
      <c r="E132" s="75"/>
      <c r="F132" s="74"/>
      <c r="G132" s="74"/>
      <c r="H132" s="74"/>
      <c r="I132" s="74"/>
      <c r="J132" s="75">
        <f>K31+K32+K33+K34+K35+K36+K39+K40+K42+K43+K44+K45+K49+K50+K52+K53+K54+K55+K59+K60+K63+K64+K65+K66+K72+K73+K75+K76+K77+K78+K108+K109+K110+K111+K112+K113+K114+K124+K126</f>
        <v>11853583.729999999</v>
      </c>
      <c r="K132" s="75" t="s">
        <v>604</v>
      </c>
      <c r="L132" s="75">
        <f>L31+L32+L33+L34+L35+L36+L39+L40+L42+L43+L44+L45+L49+L50+L52+L53+L54+L55+L59+L60+L63+L64+L65+L66+L72+L73+L75+L76+L77+L78+L108+L109+L110+L111+L112+L113+L114+L124+L126</f>
        <v>11766205.391030664</v>
      </c>
      <c r="M132" s="73"/>
      <c r="N132" s="73"/>
      <c r="R132" s="243"/>
      <c r="S132" s="243"/>
      <c r="T132" s="74"/>
    </row>
    <row r="133" spans="1:20" ht="36" customHeight="1" x14ac:dyDescent="0.25">
      <c r="A133" s="287" t="s">
        <v>575</v>
      </c>
      <c r="R133" s="243"/>
      <c r="S133" s="243"/>
      <c r="T133" s="74"/>
    </row>
    <row r="134" spans="1:20" ht="16.149999999999999" thickBot="1" x14ac:dyDescent="0.35">
      <c r="A134" s="13"/>
      <c r="R134" s="243"/>
      <c r="S134" s="243"/>
      <c r="T134" s="74"/>
    </row>
    <row r="135" spans="1:20" ht="80.25" thickBot="1" x14ac:dyDescent="0.3">
      <c r="A135" s="361" t="s">
        <v>24</v>
      </c>
      <c r="B135" s="362" t="s">
        <v>25</v>
      </c>
      <c r="C135" s="362" t="s">
        <v>11</v>
      </c>
      <c r="D135" s="362" t="s">
        <v>125</v>
      </c>
      <c r="E135" s="362" t="s">
        <v>27</v>
      </c>
      <c r="F135" s="362" t="s">
        <v>28</v>
      </c>
      <c r="G135" s="362" t="s">
        <v>576</v>
      </c>
      <c r="H135" s="362" t="s">
        <v>577</v>
      </c>
      <c r="I135" s="18" t="s">
        <v>31</v>
      </c>
      <c r="J135" s="18" t="s">
        <v>32</v>
      </c>
      <c r="K135" s="18" t="s">
        <v>33</v>
      </c>
      <c r="L135" s="18" t="s">
        <v>34</v>
      </c>
      <c r="M135" s="18" t="s">
        <v>578</v>
      </c>
      <c r="N135" s="18" t="s">
        <v>36</v>
      </c>
      <c r="O135" s="336" t="s">
        <v>37</v>
      </c>
      <c r="P135" s="20" t="s">
        <v>38</v>
      </c>
    </row>
    <row r="136" spans="1:20" thickBot="1" x14ac:dyDescent="0.35">
      <c r="A136" s="363">
        <v>1</v>
      </c>
      <c r="B136" s="284">
        <v>2</v>
      </c>
      <c r="C136" s="284">
        <v>3</v>
      </c>
      <c r="D136" s="284">
        <v>4</v>
      </c>
      <c r="E136" s="284">
        <v>5</v>
      </c>
      <c r="F136" s="284">
        <v>6</v>
      </c>
      <c r="G136" s="284">
        <v>7</v>
      </c>
      <c r="H136" s="284">
        <v>8</v>
      </c>
      <c r="I136" s="284"/>
      <c r="J136" s="284">
        <v>9</v>
      </c>
      <c r="K136" s="284">
        <v>10</v>
      </c>
      <c r="L136" s="284">
        <v>11</v>
      </c>
      <c r="M136" s="286">
        <v>12</v>
      </c>
      <c r="N136" s="284">
        <v>13</v>
      </c>
      <c r="O136" s="364">
        <v>14</v>
      </c>
      <c r="P136" s="2"/>
    </row>
    <row r="137" spans="1:20" ht="34.5" thickBot="1" x14ac:dyDescent="0.3">
      <c r="A137" s="325" t="s">
        <v>39</v>
      </c>
      <c r="B137" s="257" t="s">
        <v>579</v>
      </c>
      <c r="C137" s="257">
        <v>4</v>
      </c>
      <c r="D137" s="257"/>
      <c r="E137" s="365">
        <v>3470</v>
      </c>
      <c r="F137" s="71" t="s">
        <v>126</v>
      </c>
      <c r="G137" s="257" t="s">
        <v>580</v>
      </c>
      <c r="H137" s="257">
        <v>1</v>
      </c>
      <c r="I137" s="257" t="s">
        <v>132</v>
      </c>
      <c r="J137" s="257" t="s">
        <v>47</v>
      </c>
      <c r="K137" s="366">
        <v>201261.55</v>
      </c>
      <c r="L137" s="257">
        <v>0</v>
      </c>
      <c r="M137" s="25">
        <v>0</v>
      </c>
      <c r="N137" s="257"/>
      <c r="O137" s="31"/>
      <c r="P137" s="36" t="s">
        <v>581</v>
      </c>
    </row>
    <row r="138" spans="1:20" ht="15.75" thickBot="1" x14ac:dyDescent="0.3">
      <c r="A138" s="324"/>
      <c r="B138" s="367"/>
      <c r="C138" s="367"/>
      <c r="D138" s="367"/>
      <c r="E138" s="368"/>
      <c r="F138" s="78" t="s">
        <v>53</v>
      </c>
      <c r="G138" s="257"/>
      <c r="H138" s="257"/>
      <c r="I138" s="257"/>
      <c r="J138" s="257"/>
      <c r="K138" s="392">
        <f>K137</f>
        <v>201261.55</v>
      </c>
      <c r="L138" s="257"/>
      <c r="M138" s="25"/>
      <c r="N138" s="367"/>
      <c r="O138" s="35"/>
      <c r="P138" s="2"/>
    </row>
    <row r="139" spans="1:20" ht="34.5" customHeight="1" thickBot="1" x14ac:dyDescent="0.3">
      <c r="A139" s="485" t="s">
        <v>39</v>
      </c>
      <c r="B139" s="490" t="s">
        <v>406</v>
      </c>
      <c r="C139" s="490">
        <v>3</v>
      </c>
      <c r="D139" s="490"/>
      <c r="E139" s="490" t="s">
        <v>407</v>
      </c>
      <c r="F139" s="257" t="s">
        <v>408</v>
      </c>
      <c r="G139" s="257" t="s">
        <v>409</v>
      </c>
      <c r="H139" s="257" t="s">
        <v>410</v>
      </c>
      <c r="I139" s="257" t="str">
        <f>H139</f>
        <v>2 284,4</v>
      </c>
      <c r="J139" s="257" t="s">
        <v>47</v>
      </c>
      <c r="K139" s="366">
        <v>1311395.8700000001</v>
      </c>
      <c r="L139" s="365">
        <v>1286823.32</v>
      </c>
      <c r="M139" s="25">
        <v>0</v>
      </c>
      <c r="N139" s="333"/>
      <c r="O139" s="493" t="s">
        <v>44</v>
      </c>
      <c r="P139" s="3" t="s">
        <v>582</v>
      </c>
    </row>
    <row r="140" spans="1:20" ht="17.25" customHeight="1" thickBot="1" x14ac:dyDescent="0.3">
      <c r="A140" s="486"/>
      <c r="B140" s="491"/>
      <c r="C140" s="491"/>
      <c r="D140" s="491"/>
      <c r="E140" s="491"/>
      <c r="F140" s="369" t="s">
        <v>583</v>
      </c>
      <c r="G140" s="257"/>
      <c r="H140" s="257"/>
      <c r="I140" s="257"/>
      <c r="J140" s="257"/>
      <c r="K140" s="370">
        <f>K139</f>
        <v>1311395.8700000001</v>
      </c>
      <c r="L140" s="370">
        <f>L139</f>
        <v>1286823.32</v>
      </c>
      <c r="M140" s="25"/>
      <c r="N140" s="335"/>
      <c r="O140" s="494"/>
      <c r="P140" s="2"/>
    </row>
    <row r="141" spans="1:20" ht="15.75" thickBot="1" x14ac:dyDescent="0.3">
      <c r="A141" s="486"/>
      <c r="B141" s="491"/>
      <c r="C141" s="491"/>
      <c r="D141" s="491"/>
      <c r="E141" s="491"/>
      <c r="F141" s="257" t="s">
        <v>411</v>
      </c>
      <c r="G141" s="257" t="s">
        <v>412</v>
      </c>
      <c r="H141" s="257">
        <v>1</v>
      </c>
      <c r="I141" s="257">
        <v>1</v>
      </c>
      <c r="J141" s="257" t="s">
        <v>413</v>
      </c>
      <c r="K141" s="365">
        <v>965170.54</v>
      </c>
      <c r="L141" s="365">
        <v>586631.34</v>
      </c>
      <c r="M141" s="25">
        <v>0</v>
      </c>
      <c r="N141" s="335"/>
      <c r="O141" s="494"/>
      <c r="P141" s="497" t="s">
        <v>416</v>
      </c>
    </row>
    <row r="142" spans="1:20" ht="15.75" thickBot="1" x14ac:dyDescent="0.3">
      <c r="A142" s="486"/>
      <c r="B142" s="491"/>
      <c r="C142" s="491"/>
      <c r="D142" s="491"/>
      <c r="E142" s="491"/>
      <c r="F142" s="257" t="s">
        <v>127</v>
      </c>
      <c r="G142" s="257" t="s">
        <v>412</v>
      </c>
      <c r="H142" s="257">
        <v>175</v>
      </c>
      <c r="I142" s="257">
        <v>175</v>
      </c>
      <c r="J142" s="257" t="s">
        <v>414</v>
      </c>
      <c r="K142" s="365">
        <v>1304212.96</v>
      </c>
      <c r="L142" s="365">
        <v>1137171.6000000001</v>
      </c>
      <c r="M142" s="25">
        <v>0</v>
      </c>
      <c r="N142" s="335"/>
      <c r="O142" s="495"/>
      <c r="P142" s="497"/>
    </row>
    <row r="143" spans="1:20" ht="15.75" thickBot="1" x14ac:dyDescent="0.3">
      <c r="A143" s="486"/>
      <c r="B143" s="491"/>
      <c r="C143" s="491"/>
      <c r="D143" s="491"/>
      <c r="E143" s="491"/>
      <c r="F143" s="257" t="s">
        <v>128</v>
      </c>
      <c r="G143" s="257" t="s">
        <v>412</v>
      </c>
      <c r="H143" s="257">
        <v>54</v>
      </c>
      <c r="I143" s="257">
        <v>54</v>
      </c>
      <c r="J143" s="257" t="s">
        <v>70</v>
      </c>
      <c r="K143" s="365">
        <v>501924.43</v>
      </c>
      <c r="L143" s="365">
        <f>(40702.62+419486.87)*1.18*0.8949</f>
        <v>485951.81802917999</v>
      </c>
      <c r="M143" s="25">
        <v>0</v>
      </c>
      <c r="N143" s="335"/>
      <c r="O143" s="495"/>
      <c r="P143" s="497"/>
    </row>
    <row r="144" spans="1:20" ht="15.75" thickBot="1" x14ac:dyDescent="0.3">
      <c r="A144" s="489"/>
      <c r="B144" s="492"/>
      <c r="C144" s="492"/>
      <c r="D144" s="492"/>
      <c r="E144" s="492"/>
      <c r="F144" s="257" t="s">
        <v>415</v>
      </c>
      <c r="G144" s="257" t="s">
        <v>412</v>
      </c>
      <c r="H144" s="257">
        <v>64</v>
      </c>
      <c r="I144" s="257">
        <v>64</v>
      </c>
      <c r="J144" s="257" t="s">
        <v>70</v>
      </c>
      <c r="K144" s="365">
        <v>1238076.44</v>
      </c>
      <c r="L144" s="365">
        <f>988198.56*1.18*0.8949</f>
        <v>1043519.8917859201</v>
      </c>
      <c r="M144" s="25">
        <v>0</v>
      </c>
      <c r="N144" s="334"/>
      <c r="O144" s="496"/>
      <c r="P144" s="497"/>
    </row>
    <row r="145" spans="1:16" ht="15.75" thickBot="1" x14ac:dyDescent="0.3">
      <c r="A145" s="325"/>
      <c r="B145" s="257"/>
      <c r="C145" s="257"/>
      <c r="D145" s="257"/>
      <c r="E145" s="257"/>
      <c r="F145" s="78" t="s">
        <v>584</v>
      </c>
      <c r="G145" s="257"/>
      <c r="H145" s="257"/>
      <c r="I145" s="257"/>
      <c r="J145" s="257"/>
      <c r="K145" s="371">
        <f>SUM(K141:K144)</f>
        <v>4009384.37</v>
      </c>
      <c r="L145" s="370">
        <v>3253274.65</v>
      </c>
      <c r="M145" s="25"/>
      <c r="N145" s="257"/>
      <c r="O145" s="372"/>
      <c r="P145" s="2"/>
    </row>
    <row r="146" spans="1:16" ht="23.25" thickBot="1" x14ac:dyDescent="0.3">
      <c r="A146" s="325"/>
      <c r="B146" s="257"/>
      <c r="C146" s="257"/>
      <c r="D146" s="257"/>
      <c r="E146" s="257"/>
      <c r="F146" s="78"/>
      <c r="G146" s="257"/>
      <c r="H146" s="257"/>
      <c r="I146" s="257"/>
      <c r="J146" s="24" t="s">
        <v>115</v>
      </c>
      <c r="K146" s="72"/>
      <c r="L146" s="370">
        <v>55356.39</v>
      </c>
      <c r="M146" s="25"/>
      <c r="N146" s="257"/>
      <c r="O146" s="352" t="s">
        <v>117</v>
      </c>
      <c r="P146" s="2" t="s">
        <v>609</v>
      </c>
    </row>
    <row r="147" spans="1:16" ht="15.75" thickBot="1" x14ac:dyDescent="0.3">
      <c r="A147" s="285"/>
      <c r="B147" s="284" t="s">
        <v>356</v>
      </c>
      <c r="C147" s="284"/>
      <c r="D147" s="284"/>
      <c r="E147" s="284" t="s">
        <v>585</v>
      </c>
      <c r="F147" s="284"/>
      <c r="G147" s="284"/>
      <c r="H147" s="284"/>
      <c r="I147" s="284"/>
      <c r="J147" s="284"/>
      <c r="K147" s="384">
        <f>K138+K140+K145</f>
        <v>5522041.79</v>
      </c>
      <c r="L147" s="384">
        <f>L140+L145+L146</f>
        <v>4595454.3599999994</v>
      </c>
      <c r="M147" s="286">
        <v>0</v>
      </c>
      <c r="N147" s="284"/>
      <c r="O147" s="364"/>
      <c r="P147" s="2"/>
    </row>
    <row r="148" spans="1:16" ht="16.149999999999999" thickBot="1" x14ac:dyDescent="0.35">
      <c r="A148" s="13"/>
      <c r="J148" s="8"/>
      <c r="K148" s="373"/>
      <c r="L148" s="384"/>
    </row>
    <row r="149" spans="1:16" ht="15.75" x14ac:dyDescent="0.25">
      <c r="A149" s="79"/>
      <c r="B149" s="2"/>
      <c r="C149" s="374" t="s">
        <v>129</v>
      </c>
      <c r="D149" s="374" t="s">
        <v>12</v>
      </c>
      <c r="E149" s="374" t="s">
        <v>130</v>
      </c>
      <c r="H149" s="374" t="s">
        <v>586</v>
      </c>
      <c r="I149" s="374" t="s">
        <v>587</v>
      </c>
      <c r="J149" s="2"/>
      <c r="K149" s="391"/>
    </row>
    <row r="150" spans="1:16" ht="26.25" x14ac:dyDescent="0.25">
      <c r="A150" s="2">
        <v>1</v>
      </c>
      <c r="B150" s="36" t="s">
        <v>41</v>
      </c>
      <c r="C150" s="375" t="s">
        <v>131</v>
      </c>
      <c r="D150" s="375">
        <f>H11+H16+H21</f>
        <v>1550</v>
      </c>
      <c r="E150" s="375">
        <f>D150</f>
        <v>1550</v>
      </c>
      <c r="G150" s="380"/>
      <c r="H150" s="5">
        <f>K11+K16+K21</f>
        <v>1690470.85</v>
      </c>
      <c r="I150" s="5">
        <f>L11+L16+L21</f>
        <v>1690470.8563516722</v>
      </c>
      <c r="J150" s="2"/>
    </row>
    <row r="151" spans="1:16" ht="26.25" customHeight="1" x14ac:dyDescent="0.25">
      <c r="A151" s="2">
        <v>2</v>
      </c>
      <c r="B151" s="36" t="s">
        <v>46</v>
      </c>
      <c r="C151" s="375" t="s">
        <v>131</v>
      </c>
      <c r="D151" s="394">
        <f>H12+H17+H22+H30+H38+H48+H58+H71+H107</f>
        <v>4198.57</v>
      </c>
      <c r="E151" s="394">
        <f>D151</f>
        <v>4198.57</v>
      </c>
      <c r="G151" s="380"/>
      <c r="H151" s="5">
        <f>K12+K17+K22+K30+K38+K48+K58+K71+K107</f>
        <v>9950086.9100000001</v>
      </c>
      <c r="I151" s="5">
        <f>L12+L17+L22+L30+L38+L48+L58+L71+L107</f>
        <v>9950086.9167854413</v>
      </c>
      <c r="J151" s="395"/>
      <c r="K151" s="376"/>
      <c r="L151" s="376"/>
    </row>
    <row r="152" spans="1:16" ht="15" customHeight="1" x14ac:dyDescent="0.25">
      <c r="A152" s="2">
        <v>3</v>
      </c>
      <c r="B152" s="36" t="s">
        <v>48</v>
      </c>
      <c r="C152" s="375" t="s">
        <v>131</v>
      </c>
      <c r="D152" s="394">
        <f>H13+H18+H23+H62+H74+H116+H125</f>
        <v>8020.3</v>
      </c>
      <c r="E152" s="394">
        <f>D152</f>
        <v>8020.3</v>
      </c>
      <c r="H152" s="5">
        <f>K13+K18+K23+K62+K74+K116+K125</f>
        <v>1193320.24</v>
      </c>
      <c r="I152" s="5">
        <f>L13+L18+L23+L62+L74+L125+L116</f>
        <v>1189001.1747978707</v>
      </c>
      <c r="J152" s="395"/>
      <c r="K152" s="376"/>
      <c r="L152" s="376"/>
    </row>
    <row r="153" spans="1:16" ht="15" customHeight="1" x14ac:dyDescent="0.25">
      <c r="A153" s="2">
        <v>4</v>
      </c>
      <c r="B153" s="36" t="s">
        <v>50</v>
      </c>
      <c r="C153" s="375" t="s">
        <v>51</v>
      </c>
      <c r="D153" s="375">
        <f>H14+H19+H24+H41+H51</f>
        <v>93</v>
      </c>
      <c r="E153" s="375">
        <f>D153</f>
        <v>93</v>
      </c>
      <c r="H153" s="5">
        <f>K14+K19+K24+K41+K51</f>
        <v>10016282.939999998</v>
      </c>
      <c r="I153" s="396">
        <f>L14+L19+L24+L41+L51</f>
        <v>10016283.002418347</v>
      </c>
      <c r="J153" s="395"/>
      <c r="K153" s="376"/>
      <c r="L153" s="376"/>
    </row>
    <row r="154" spans="1:16" x14ac:dyDescent="0.25">
      <c r="A154" s="2">
        <v>5</v>
      </c>
      <c r="B154" s="36" t="s">
        <v>588</v>
      </c>
      <c r="C154" s="375" t="s">
        <v>131</v>
      </c>
      <c r="D154" s="375">
        <f>H26+H28</f>
        <v>250.3</v>
      </c>
      <c r="E154" s="394">
        <f>I26+I28</f>
        <v>250.3</v>
      </c>
      <c r="F154" s="377">
        <f>D154-E154</f>
        <v>0</v>
      </c>
      <c r="H154" s="5">
        <f>K26+K28+K29</f>
        <v>479923.03</v>
      </c>
      <c r="I154" s="5">
        <f>L26+L28+L29</f>
        <v>471003.14999849594</v>
      </c>
      <c r="J154" s="395"/>
      <c r="K154" s="376"/>
      <c r="L154" s="376"/>
    </row>
    <row r="155" spans="1:16" x14ac:dyDescent="0.25">
      <c r="A155" s="2">
        <v>6</v>
      </c>
      <c r="B155" s="383" t="s">
        <v>589</v>
      </c>
      <c r="C155" s="375" t="s">
        <v>51</v>
      </c>
      <c r="D155" s="375">
        <v>7</v>
      </c>
      <c r="E155" s="375">
        <v>7</v>
      </c>
      <c r="F155" s="377"/>
      <c r="H155" s="5">
        <f>J132</f>
        <v>11853583.729999999</v>
      </c>
      <c r="I155" s="396">
        <f>L132</f>
        <v>11766205.391030664</v>
      </c>
      <c r="J155" s="395"/>
      <c r="K155" s="376"/>
      <c r="L155" s="376"/>
    </row>
    <row r="156" spans="1:16" ht="26.25" x14ac:dyDescent="0.25">
      <c r="A156" s="2">
        <v>7</v>
      </c>
      <c r="B156" s="36" t="s">
        <v>606</v>
      </c>
      <c r="C156" s="375" t="s">
        <v>42</v>
      </c>
      <c r="D156" s="375">
        <f>H31+H39+H49+H59+H72+H108+H124</f>
        <v>2018.44</v>
      </c>
      <c r="E156" s="375">
        <f>D156-10.75</f>
        <v>2007.69</v>
      </c>
      <c r="F156" s="397">
        <f>E156-D156</f>
        <v>-10.75</v>
      </c>
      <c r="G156" s="398" t="s">
        <v>590</v>
      </c>
      <c r="H156" s="5">
        <f>K31+K39+K49+K59+K72+K108+K124</f>
        <v>4171118.21</v>
      </c>
      <c r="I156" s="5">
        <f>L31+L39+L49+L59+L72+L108+L124</f>
        <v>4039431.1761127515</v>
      </c>
      <c r="J156" s="1"/>
      <c r="K156" s="377"/>
      <c r="L156" s="377"/>
    </row>
    <row r="157" spans="1:16" ht="25.5" customHeight="1" x14ac:dyDescent="0.25">
      <c r="A157" s="2">
        <v>8</v>
      </c>
      <c r="B157" s="36" t="s">
        <v>607</v>
      </c>
      <c r="C157" s="375" t="s">
        <v>63</v>
      </c>
      <c r="D157" s="375">
        <f>'Благоустр. накопит'!H32+'Благоустр. накопит'!H40+'Благоустр. накопит'!H50+'Благоустр. накопит'!H60+'Благоустр. накопит'!H73+'Благоустр. накопит'!H109+'Благоустр. накопит'!H126</f>
        <v>745.6</v>
      </c>
      <c r="E157" s="375">
        <f>D157</f>
        <v>745.6</v>
      </c>
      <c r="F157" s="377"/>
      <c r="H157" s="5">
        <f>K32+K40+K50+K60+K73+K109+K126</f>
        <v>622285.71</v>
      </c>
      <c r="I157" s="5">
        <f>L32+L40+L50+L60+L73+L109+L126</f>
        <v>621828.86705791543</v>
      </c>
      <c r="J157" s="1"/>
      <c r="K157" s="377"/>
      <c r="L157" s="377"/>
    </row>
    <row r="158" spans="1:16" ht="25.5" customHeight="1" x14ac:dyDescent="0.25">
      <c r="A158" s="2">
        <v>9</v>
      </c>
      <c r="B158" s="36" t="s">
        <v>608</v>
      </c>
      <c r="C158" s="375"/>
      <c r="D158" s="375">
        <f>H117</f>
        <v>376</v>
      </c>
      <c r="E158" s="375">
        <f>I117</f>
        <v>376</v>
      </c>
      <c r="F158" s="377"/>
      <c r="G158" s="8"/>
      <c r="H158" s="5">
        <f>K117</f>
        <v>315486.18</v>
      </c>
      <c r="I158" s="5">
        <f>L117</f>
        <v>315486.18</v>
      </c>
      <c r="J158" s="1"/>
      <c r="K158" s="377"/>
      <c r="L158" s="377"/>
    </row>
    <row r="159" spans="1:16" ht="21.75" customHeight="1" x14ac:dyDescent="0.25">
      <c r="A159" s="2">
        <v>10</v>
      </c>
      <c r="B159" s="36" t="s">
        <v>65</v>
      </c>
      <c r="C159" s="374" t="s">
        <v>51</v>
      </c>
      <c r="D159" s="374">
        <f>H33+H42+H52+H63+H75+H110</f>
        <v>7</v>
      </c>
      <c r="E159" s="374">
        <v>7</v>
      </c>
      <c r="F159" s="377"/>
      <c r="H159" s="5">
        <f>K33+K42+K52+K63+K75+K110</f>
        <v>5495013.9399999995</v>
      </c>
      <c r="I159" s="5">
        <f>L33+L42+L52+L63+L75+L110</f>
        <v>5495013.9393600002</v>
      </c>
      <c r="J159" s="1"/>
      <c r="K159" s="377"/>
      <c r="L159" s="377"/>
    </row>
    <row r="160" spans="1:16" ht="48.75" x14ac:dyDescent="0.25">
      <c r="A160" s="2">
        <v>11</v>
      </c>
      <c r="B160" s="36" t="s">
        <v>67</v>
      </c>
      <c r="C160" s="374" t="s">
        <v>51</v>
      </c>
      <c r="D160" s="374">
        <f>H34+H43+H53+H64+H76+H114</f>
        <v>18</v>
      </c>
      <c r="E160" s="1">
        <f>I34+I43+I53+I64+I76+I114</f>
        <v>19</v>
      </c>
      <c r="F160" s="397">
        <f>E160-D160</f>
        <v>1</v>
      </c>
      <c r="G160" s="398" t="s">
        <v>591</v>
      </c>
      <c r="H160" s="5">
        <f>K34+K43+K53+K64+K76+K114</f>
        <v>936093.38</v>
      </c>
      <c r="I160" s="5">
        <f>L34+L43+L53+L64+L76+L114</f>
        <v>992411.60879999993</v>
      </c>
      <c r="J160" s="2"/>
    </row>
    <row r="161" spans="1:12" x14ac:dyDescent="0.25">
      <c r="A161" s="2">
        <v>12</v>
      </c>
      <c r="B161" s="36" t="s">
        <v>69</v>
      </c>
      <c r="C161" s="374" t="s">
        <v>51</v>
      </c>
      <c r="D161" s="374">
        <v>43</v>
      </c>
      <c r="E161" s="1">
        <v>43</v>
      </c>
      <c r="F161" s="377"/>
      <c r="G161" s="380"/>
      <c r="H161" s="5">
        <f>K35+K44+K54+K65+K77+K111</f>
        <v>369149.14999999997</v>
      </c>
      <c r="I161" s="5">
        <f>L35+L44+L54+L65+L77+L111</f>
        <v>357596.48070000001</v>
      </c>
      <c r="J161" s="2"/>
    </row>
    <row r="162" spans="1:12" ht="37.5" customHeight="1" x14ac:dyDescent="0.25">
      <c r="A162" s="2">
        <v>13</v>
      </c>
      <c r="B162" s="36" t="s">
        <v>128</v>
      </c>
      <c r="C162" s="374" t="s">
        <v>51</v>
      </c>
      <c r="D162" s="374">
        <v>43</v>
      </c>
      <c r="E162" s="1">
        <v>43</v>
      </c>
      <c r="F162" s="377"/>
      <c r="G162" s="380"/>
      <c r="H162" s="5">
        <f>K36+K45+K55+K66+K78+K112</f>
        <v>193703.34</v>
      </c>
      <c r="I162" s="5">
        <f>L36+L45+L55+L66+L78+L112</f>
        <v>193703.31899999999</v>
      </c>
      <c r="J162" s="395"/>
      <c r="K162" s="376"/>
      <c r="L162" s="376"/>
    </row>
    <row r="163" spans="1:12" ht="42" customHeight="1" x14ac:dyDescent="0.25">
      <c r="A163" s="2">
        <v>14</v>
      </c>
      <c r="B163" s="36" t="s">
        <v>75</v>
      </c>
      <c r="C163" s="374" t="s">
        <v>51</v>
      </c>
      <c r="D163" s="1">
        <v>6</v>
      </c>
      <c r="E163" s="1">
        <v>6</v>
      </c>
      <c r="F163" s="377"/>
      <c r="H163" s="5">
        <f>K46+K56</f>
        <v>10162.5</v>
      </c>
      <c r="I163" s="5">
        <f>L46+L56</f>
        <v>10162.50856</v>
      </c>
      <c r="J163" s="395"/>
      <c r="K163" s="376"/>
      <c r="L163" s="376"/>
    </row>
    <row r="164" spans="1:12" ht="33.75" customHeight="1" x14ac:dyDescent="0.25">
      <c r="A164" s="2">
        <v>15</v>
      </c>
      <c r="B164" s="36" t="s">
        <v>81</v>
      </c>
      <c r="C164" s="374" t="s">
        <v>131</v>
      </c>
      <c r="D164" s="1">
        <f>H61</f>
        <v>30.6</v>
      </c>
      <c r="E164" s="1">
        <f>D164</f>
        <v>30.6</v>
      </c>
      <c r="F164" s="377"/>
      <c r="H164" s="5">
        <f>K61</f>
        <v>109044.7</v>
      </c>
      <c r="I164" s="5">
        <f>L61</f>
        <v>109044.7</v>
      </c>
      <c r="J164" s="395"/>
      <c r="K164" s="376"/>
      <c r="L164" s="376"/>
    </row>
    <row r="165" spans="1:12" ht="30.75" customHeight="1" x14ac:dyDescent="0.25">
      <c r="A165" s="2">
        <v>16</v>
      </c>
      <c r="B165" s="36" t="s">
        <v>479</v>
      </c>
      <c r="C165" s="374" t="s">
        <v>131</v>
      </c>
      <c r="D165" s="1">
        <f>H68</f>
        <v>812</v>
      </c>
      <c r="E165" s="1">
        <f>I68</f>
        <v>757</v>
      </c>
      <c r="F165" s="377">
        <f>E165-D165</f>
        <v>-55</v>
      </c>
      <c r="G165" s="398" t="s">
        <v>592</v>
      </c>
      <c r="H165" s="5">
        <f>K68</f>
        <v>707206.06</v>
      </c>
      <c r="I165" s="5">
        <f>L68</f>
        <v>707206.0576877679</v>
      </c>
      <c r="J165" s="395"/>
      <c r="K165" s="376"/>
      <c r="L165" s="376"/>
    </row>
    <row r="166" spans="1:12" ht="30.75" customHeight="1" x14ac:dyDescent="0.25">
      <c r="A166" s="2">
        <v>17</v>
      </c>
      <c r="B166" s="36" t="s">
        <v>501</v>
      </c>
      <c r="C166" s="374" t="s">
        <v>131</v>
      </c>
      <c r="D166" s="1">
        <v>55</v>
      </c>
      <c r="E166" s="1">
        <f>D166</f>
        <v>55</v>
      </c>
      <c r="F166" s="377" t="s">
        <v>593</v>
      </c>
      <c r="H166" s="5">
        <f>K69</f>
        <v>70736.72</v>
      </c>
      <c r="I166" s="5">
        <f>H166</f>
        <v>70736.72</v>
      </c>
      <c r="J166" s="395"/>
      <c r="K166" s="376"/>
      <c r="L166" s="376"/>
    </row>
    <row r="167" spans="1:12" ht="26.25" x14ac:dyDescent="0.25">
      <c r="A167" s="2">
        <v>19</v>
      </c>
      <c r="B167" s="36" t="s">
        <v>111</v>
      </c>
      <c r="C167" s="374" t="s">
        <v>131</v>
      </c>
      <c r="D167" s="1">
        <f>H113</f>
        <v>77</v>
      </c>
      <c r="E167" s="1">
        <f>D167</f>
        <v>77</v>
      </c>
      <c r="F167" s="377"/>
      <c r="H167" s="5">
        <f>K113</f>
        <v>66220</v>
      </c>
      <c r="I167" s="5">
        <f>H167</f>
        <v>66220</v>
      </c>
      <c r="J167" s="395"/>
      <c r="K167" s="376"/>
      <c r="L167" s="376"/>
    </row>
    <row r="168" spans="1:12" ht="15" customHeight="1" x14ac:dyDescent="0.25">
      <c r="A168" s="2">
        <v>20</v>
      </c>
      <c r="B168" s="36" t="s">
        <v>126</v>
      </c>
      <c r="C168" s="374" t="s">
        <v>51</v>
      </c>
      <c r="D168" s="1">
        <v>15</v>
      </c>
      <c r="E168" s="1">
        <v>15</v>
      </c>
      <c r="F168" s="377"/>
      <c r="H168" s="5">
        <f>K105</f>
        <v>758545.39</v>
      </c>
      <c r="I168" s="5">
        <f>L105</f>
        <v>723785.13</v>
      </c>
      <c r="J168" s="395" t="s">
        <v>594</v>
      </c>
    </row>
    <row r="169" spans="1:12" ht="27.75" customHeight="1" x14ac:dyDescent="0.25">
      <c r="A169" s="2">
        <v>21</v>
      </c>
      <c r="B169" s="36" t="s">
        <v>605</v>
      </c>
      <c r="C169" s="374" t="s">
        <v>131</v>
      </c>
      <c r="D169" s="1">
        <v>24</v>
      </c>
      <c r="E169" s="1">
        <v>24</v>
      </c>
      <c r="F169" s="377"/>
      <c r="H169" s="5">
        <f>K122+K123</f>
        <v>291072.81</v>
      </c>
      <c r="I169" s="5">
        <f>L122+L123</f>
        <v>255067.33327180002</v>
      </c>
      <c r="J169" s="2"/>
    </row>
    <row r="170" spans="1:12" ht="27.75" customHeight="1" x14ac:dyDescent="0.25">
      <c r="A170" s="2">
        <v>22</v>
      </c>
      <c r="B170" s="390" t="s">
        <v>613</v>
      </c>
      <c r="C170" s="379"/>
      <c r="D170" s="80"/>
      <c r="E170" s="377"/>
      <c r="F170" s="377"/>
      <c r="H170" s="5"/>
      <c r="I170" s="5"/>
      <c r="J170" s="2"/>
    </row>
    <row r="171" spans="1:12" ht="27.75" customHeight="1" x14ac:dyDescent="0.25">
      <c r="A171" s="2"/>
      <c r="B171" s="36" t="s">
        <v>479</v>
      </c>
      <c r="C171" s="379"/>
      <c r="D171" s="80">
        <f>H80</f>
        <v>807.5</v>
      </c>
      <c r="E171" s="377">
        <f>I80</f>
        <v>807.5</v>
      </c>
      <c r="F171" s="377"/>
      <c r="H171" s="5">
        <f>K80</f>
        <v>700123</v>
      </c>
      <c r="I171" s="5">
        <f>L80</f>
        <v>644303.18076300004</v>
      </c>
      <c r="J171" s="2"/>
    </row>
    <row r="172" spans="1:12" ht="27.75" customHeight="1" x14ac:dyDescent="0.25">
      <c r="A172" s="2"/>
      <c r="B172" s="378" t="s">
        <v>90</v>
      </c>
      <c r="C172" s="379"/>
      <c r="D172" s="315">
        <f>H82</f>
        <v>2284.4</v>
      </c>
      <c r="E172" s="399">
        <f>I82</f>
        <v>2284.4</v>
      </c>
      <c r="F172" s="377"/>
      <c r="H172" s="5">
        <f>K82</f>
        <v>5409641.5300000003</v>
      </c>
      <c r="I172" s="5">
        <f>L82</f>
        <v>5079952.9804240009</v>
      </c>
      <c r="J172" s="2"/>
    </row>
    <row r="173" spans="1:12" ht="18" customHeight="1" x14ac:dyDescent="0.25">
      <c r="A173" s="2"/>
      <c r="B173" s="36" t="s">
        <v>588</v>
      </c>
      <c r="C173" s="375" t="s">
        <v>131</v>
      </c>
      <c r="D173" s="375">
        <f>H81</f>
        <v>637.5</v>
      </c>
      <c r="E173" s="394">
        <f>I81</f>
        <v>673.5</v>
      </c>
      <c r="F173" s="377">
        <f>D173-E173</f>
        <v>-36</v>
      </c>
      <c r="H173" s="5">
        <f>K81</f>
        <v>900120.72</v>
      </c>
      <c r="I173" s="5">
        <f>L81</f>
        <v>826982.73880199995</v>
      </c>
      <c r="J173" s="2"/>
    </row>
    <row r="174" spans="1:12" x14ac:dyDescent="0.25">
      <c r="A174" s="2"/>
      <c r="B174" s="36" t="s">
        <v>92</v>
      </c>
      <c r="C174" s="374" t="s">
        <v>51</v>
      </c>
      <c r="D174" s="1">
        <v>14</v>
      </c>
      <c r="E174" s="1">
        <v>14</v>
      </c>
      <c r="F174" s="377"/>
      <c r="H174" s="5">
        <f>K85</f>
        <v>1358951.4</v>
      </c>
      <c r="I174" s="5">
        <f>L85</f>
        <v>1288252.0596250002</v>
      </c>
      <c r="J174" s="395" t="s">
        <v>594</v>
      </c>
      <c r="K174" s="376"/>
      <c r="L174" s="376"/>
    </row>
    <row r="175" spans="1:12" x14ac:dyDescent="0.25">
      <c r="A175" s="2"/>
      <c r="B175" s="36" t="s">
        <v>91</v>
      </c>
      <c r="C175" s="375" t="s">
        <v>63</v>
      </c>
      <c r="D175" s="375">
        <f>H83</f>
        <v>124</v>
      </c>
      <c r="E175" s="394">
        <f t="shared" ref="E175:E180" si="1">D175</f>
        <v>124</v>
      </c>
      <c r="F175" s="377"/>
      <c r="H175" s="5">
        <f>K83</f>
        <v>85931.83</v>
      </c>
      <c r="I175" s="5">
        <f>L83</f>
        <v>79556.959647000011</v>
      </c>
      <c r="J175" s="395"/>
      <c r="K175" s="376"/>
      <c r="L175" s="376"/>
    </row>
    <row r="176" spans="1:12" x14ac:dyDescent="0.25">
      <c r="A176" s="2"/>
      <c r="B176" s="36" t="s">
        <v>48</v>
      </c>
      <c r="C176" s="375" t="s">
        <v>131</v>
      </c>
      <c r="D176" s="400">
        <f>H84</f>
        <v>830.9</v>
      </c>
      <c r="E176" s="401">
        <f t="shared" si="1"/>
        <v>830.9</v>
      </c>
      <c r="F176" s="377"/>
      <c r="H176" s="5">
        <f>K84</f>
        <v>123388.13</v>
      </c>
      <c r="I176" s="5">
        <f>L84</f>
        <v>114750.965736</v>
      </c>
      <c r="J176" s="395"/>
      <c r="K176" s="376"/>
      <c r="L176" s="376"/>
    </row>
    <row r="177" spans="1:12" x14ac:dyDescent="0.25">
      <c r="A177" s="2"/>
      <c r="B177" s="36" t="s">
        <v>81</v>
      </c>
      <c r="C177" s="375" t="s">
        <v>42</v>
      </c>
      <c r="D177" s="400">
        <f>H86</f>
        <v>96</v>
      </c>
      <c r="E177" s="401">
        <f t="shared" si="1"/>
        <v>96</v>
      </c>
      <c r="F177" s="377"/>
      <c r="H177" s="5">
        <f>K86</f>
        <v>342101.22</v>
      </c>
      <c r="I177" s="5">
        <f>L86</f>
        <v>318154.13655299996</v>
      </c>
      <c r="J177" s="395"/>
      <c r="K177" s="376"/>
      <c r="L177" s="376"/>
    </row>
    <row r="178" spans="1:12" x14ac:dyDescent="0.25">
      <c r="A178" s="2"/>
      <c r="B178" s="36" t="s">
        <v>50</v>
      </c>
      <c r="C178" s="375" t="s">
        <v>51</v>
      </c>
      <c r="D178" s="400">
        <f>H87</f>
        <v>30</v>
      </c>
      <c r="E178" s="401">
        <f t="shared" si="1"/>
        <v>30</v>
      </c>
      <c r="F178" s="377"/>
      <c r="H178" s="5">
        <f>K87</f>
        <v>3129523.53</v>
      </c>
      <c r="I178" s="5">
        <f>L87</f>
        <v>2853462.2221619999</v>
      </c>
      <c r="J178" s="395"/>
      <c r="K178" s="376"/>
      <c r="L178" s="376"/>
    </row>
    <row r="179" spans="1:12" ht="26.25" x14ac:dyDescent="0.25">
      <c r="A179" s="2">
        <v>22</v>
      </c>
      <c r="B179" s="378" t="s">
        <v>595</v>
      </c>
      <c r="C179" s="379" t="s">
        <v>596</v>
      </c>
      <c r="D179" s="80">
        <v>13</v>
      </c>
      <c r="E179" s="377">
        <f t="shared" si="1"/>
        <v>13</v>
      </c>
      <c r="H179" s="5">
        <f>K120</f>
        <v>504296.58</v>
      </c>
      <c r="I179" s="5">
        <f>L120</f>
        <v>434090.36</v>
      </c>
      <c r="J179" s="2"/>
    </row>
    <row r="180" spans="1:12" x14ac:dyDescent="0.25">
      <c r="A180" s="2">
        <v>23</v>
      </c>
      <c r="B180" s="378" t="s">
        <v>597</v>
      </c>
      <c r="C180" s="379" t="s">
        <v>596</v>
      </c>
      <c r="D180" s="80">
        <v>15</v>
      </c>
      <c r="E180" s="377">
        <f t="shared" si="1"/>
        <v>15</v>
      </c>
      <c r="H180" s="2"/>
      <c r="I180" s="5">
        <f>L106</f>
        <v>70206.22</v>
      </c>
      <c r="J180" s="2"/>
    </row>
    <row r="181" spans="1:12" x14ac:dyDescent="0.25">
      <c r="G181" t="s">
        <v>598</v>
      </c>
      <c r="H181" s="2"/>
      <c r="I181" s="483">
        <f>SUM(I150:I180)-I155</f>
        <v>48984250.944614068</v>
      </c>
      <c r="J181" s="484"/>
    </row>
    <row r="182" spans="1:12" x14ac:dyDescent="0.25">
      <c r="I182" s="483">
        <f>I181-I179-I180</f>
        <v>48479954.364614069</v>
      </c>
      <c r="J182" s="484"/>
    </row>
    <row r="183" spans="1:12" x14ac:dyDescent="0.25">
      <c r="A183" s="380" t="s">
        <v>599</v>
      </c>
    </row>
    <row r="184" spans="1:12" ht="21" customHeight="1" x14ac:dyDescent="0.25">
      <c r="A184" s="289">
        <v>1</v>
      </c>
      <c r="B184" s="36" t="s">
        <v>126</v>
      </c>
      <c r="C184" s="36"/>
      <c r="D184" s="36" t="s">
        <v>580</v>
      </c>
      <c r="E184" s="402">
        <v>1</v>
      </c>
      <c r="F184" s="402" t="s">
        <v>132</v>
      </c>
      <c r="G184" t="s">
        <v>600</v>
      </c>
      <c r="H184" s="2">
        <v>0</v>
      </c>
      <c r="I184" s="2">
        <v>0</v>
      </c>
      <c r="J184" s="2">
        <v>0</v>
      </c>
    </row>
    <row r="185" spans="1:12" ht="29.25" customHeight="1" x14ac:dyDescent="0.25">
      <c r="A185" s="2">
        <v>2</v>
      </c>
      <c r="B185" s="36" t="s">
        <v>601</v>
      </c>
      <c r="C185" s="36"/>
      <c r="D185" s="36" t="s">
        <v>409</v>
      </c>
      <c r="E185" s="402" t="s">
        <v>410</v>
      </c>
      <c r="F185" s="402" t="str">
        <f>E185</f>
        <v>2 284,4</v>
      </c>
      <c r="H185" s="393">
        <f>K139</f>
        <v>1311395.8700000001</v>
      </c>
      <c r="I185" s="393">
        <f>L139</f>
        <v>1286823.32</v>
      </c>
      <c r="J185" s="393">
        <f>I185-H185</f>
        <v>-24572.550000000047</v>
      </c>
    </row>
    <row r="186" spans="1:12" x14ac:dyDescent="0.25">
      <c r="A186" s="289">
        <v>3</v>
      </c>
      <c r="B186" s="36" t="s">
        <v>411</v>
      </c>
      <c r="C186" s="36"/>
      <c r="D186" s="36" t="s">
        <v>412</v>
      </c>
      <c r="E186" s="402">
        <v>1</v>
      </c>
      <c r="F186" s="402">
        <v>1</v>
      </c>
      <c r="H186" s="5">
        <f t="shared" ref="H186:I189" si="2">K141</f>
        <v>965170.54</v>
      </c>
      <c r="I186" s="5">
        <f t="shared" si="2"/>
        <v>586631.34</v>
      </c>
      <c r="J186" s="393">
        <f>I186-H186</f>
        <v>-378539.20000000007</v>
      </c>
    </row>
    <row r="187" spans="1:12" x14ac:dyDescent="0.25">
      <c r="A187" s="2">
        <v>4</v>
      </c>
      <c r="B187" s="36" t="s">
        <v>127</v>
      </c>
      <c r="C187" s="36"/>
      <c r="D187" s="36" t="s">
        <v>412</v>
      </c>
      <c r="E187" s="402">
        <v>175</v>
      </c>
      <c r="F187" s="402">
        <v>175</v>
      </c>
      <c r="H187" s="5">
        <f t="shared" si="2"/>
        <v>1304212.96</v>
      </c>
      <c r="I187" s="2">
        <f t="shared" si="2"/>
        <v>1137171.6000000001</v>
      </c>
      <c r="J187" s="393">
        <f>I187-H187</f>
        <v>-167041.35999999987</v>
      </c>
    </row>
    <row r="188" spans="1:12" x14ac:dyDescent="0.25">
      <c r="A188" s="289">
        <v>5</v>
      </c>
      <c r="B188" s="36" t="s">
        <v>128</v>
      </c>
      <c r="C188" s="36"/>
      <c r="D188" s="36" t="s">
        <v>412</v>
      </c>
      <c r="E188" s="402">
        <v>54</v>
      </c>
      <c r="F188" s="402">
        <v>54</v>
      </c>
      <c r="H188" s="5">
        <f t="shared" si="2"/>
        <v>501924.43</v>
      </c>
      <c r="I188" s="5">
        <f t="shared" si="2"/>
        <v>485951.81802917999</v>
      </c>
      <c r="J188" s="393">
        <f>I188-H188</f>
        <v>-15972.611970819999</v>
      </c>
    </row>
    <row r="189" spans="1:12" x14ac:dyDescent="0.25">
      <c r="A189" s="2">
        <v>6</v>
      </c>
      <c r="B189" s="36" t="s">
        <v>415</v>
      </c>
      <c r="C189" s="36"/>
      <c r="D189" s="36" t="s">
        <v>412</v>
      </c>
      <c r="E189" s="402">
        <v>64</v>
      </c>
      <c r="F189" s="402">
        <v>64</v>
      </c>
      <c r="H189" s="5">
        <f t="shared" si="2"/>
        <v>1238076.44</v>
      </c>
      <c r="I189" s="5">
        <f t="shared" si="2"/>
        <v>1043519.8917859201</v>
      </c>
      <c r="J189" s="393">
        <f>I189-H189</f>
        <v>-194556.54821407981</v>
      </c>
    </row>
    <row r="190" spans="1:12" x14ac:dyDescent="0.25">
      <c r="D190" s="377"/>
      <c r="E190" s="377"/>
      <c r="F190" s="377"/>
      <c r="H190" s="291">
        <f>SUM(H185:H189)</f>
        <v>5320780.24</v>
      </c>
      <c r="I190" s="483">
        <f>SUM(I185:I189)</f>
        <v>4540097.9698151005</v>
      </c>
      <c r="J190" s="484"/>
    </row>
  </sheetData>
  <mergeCells count="117">
    <mergeCell ref="O11:O14"/>
    <mergeCell ref="A16:A19"/>
    <mergeCell ref="B16:B19"/>
    <mergeCell ref="C16:C19"/>
    <mergeCell ref="D16:D19"/>
    <mergeCell ref="E16:E19"/>
    <mergeCell ref="M16:M19"/>
    <mergeCell ref="O16:O19"/>
    <mergeCell ref="A11:A14"/>
    <mergeCell ref="B11:B14"/>
    <mergeCell ref="C11:C14"/>
    <mergeCell ref="D11:D14"/>
    <mergeCell ref="E11:E14"/>
    <mergeCell ref="M11:M14"/>
    <mergeCell ref="O21:O24"/>
    <mergeCell ref="A28:A36"/>
    <mergeCell ref="B28:B36"/>
    <mergeCell ref="C28:C36"/>
    <mergeCell ref="D28:D36"/>
    <mergeCell ref="E28:E36"/>
    <mergeCell ref="M28:M36"/>
    <mergeCell ref="O28:O36"/>
    <mergeCell ref="A21:A24"/>
    <mergeCell ref="B21:B24"/>
    <mergeCell ref="C21:C24"/>
    <mergeCell ref="D21:D24"/>
    <mergeCell ref="E21:E24"/>
    <mergeCell ref="M21:M24"/>
    <mergeCell ref="O38:O46"/>
    <mergeCell ref="A48:A56"/>
    <mergeCell ref="B48:B56"/>
    <mergeCell ref="C48:C56"/>
    <mergeCell ref="D48:D56"/>
    <mergeCell ref="E48:E56"/>
    <mergeCell ref="M48:M56"/>
    <mergeCell ref="O48:O56"/>
    <mergeCell ref="A38:A46"/>
    <mergeCell ref="B38:B46"/>
    <mergeCell ref="C38:C46"/>
    <mergeCell ref="D38:D46"/>
    <mergeCell ref="E38:E46"/>
    <mergeCell ref="M38:M46"/>
    <mergeCell ref="O58:O66"/>
    <mergeCell ref="A68:A69"/>
    <mergeCell ref="B68:B69"/>
    <mergeCell ref="C68:C69"/>
    <mergeCell ref="D68:D69"/>
    <mergeCell ref="E68:E69"/>
    <mergeCell ref="M68:M69"/>
    <mergeCell ref="O68:O69"/>
    <mergeCell ref="A58:A66"/>
    <mergeCell ref="B58:B66"/>
    <mergeCell ref="C58:C66"/>
    <mergeCell ref="D58:D66"/>
    <mergeCell ref="E58:E66"/>
    <mergeCell ref="M58:M66"/>
    <mergeCell ref="O71:O78"/>
    <mergeCell ref="A80:A87"/>
    <mergeCell ref="B80:B87"/>
    <mergeCell ref="C80:C87"/>
    <mergeCell ref="D80:D87"/>
    <mergeCell ref="E80:E87"/>
    <mergeCell ref="M80:M87"/>
    <mergeCell ref="O80:O87"/>
    <mergeCell ref="A71:A78"/>
    <mergeCell ref="B71:B78"/>
    <mergeCell ref="C71:C78"/>
    <mergeCell ref="D71:D78"/>
    <mergeCell ref="E71:E78"/>
    <mergeCell ref="M71:M78"/>
    <mergeCell ref="L90:L96"/>
    <mergeCell ref="M90:M104"/>
    <mergeCell ref="F97:F104"/>
    <mergeCell ref="G97:G104"/>
    <mergeCell ref="H97:H104"/>
    <mergeCell ref="J97:J104"/>
    <mergeCell ref="K97:K104"/>
    <mergeCell ref="L97:L104"/>
    <mergeCell ref="A90:A104"/>
    <mergeCell ref="F90:F96"/>
    <mergeCell ref="G90:G96"/>
    <mergeCell ref="H90:H96"/>
    <mergeCell ref="J90:J96"/>
    <mergeCell ref="K90:K96"/>
    <mergeCell ref="O107:O114"/>
    <mergeCell ref="A116:A117"/>
    <mergeCell ref="B116:B117"/>
    <mergeCell ref="C116:C117"/>
    <mergeCell ref="D116:D117"/>
    <mergeCell ref="E116:E117"/>
    <mergeCell ref="M116:M117"/>
    <mergeCell ref="O116:O117"/>
    <mergeCell ref="A107:A114"/>
    <mergeCell ref="B107:B114"/>
    <mergeCell ref="C107:C114"/>
    <mergeCell ref="D107:D114"/>
    <mergeCell ref="E107:E114"/>
    <mergeCell ref="M107:M114"/>
    <mergeCell ref="I190:J190"/>
    <mergeCell ref="I181:J181"/>
    <mergeCell ref="N122:N126"/>
    <mergeCell ref="O122:O126"/>
    <mergeCell ref="I182:J182"/>
    <mergeCell ref="P122:P126"/>
    <mergeCell ref="A139:A144"/>
    <mergeCell ref="B139:B144"/>
    <mergeCell ref="C139:C144"/>
    <mergeCell ref="D139:D144"/>
    <mergeCell ref="E139:E144"/>
    <mergeCell ref="O139:O144"/>
    <mergeCell ref="P141:P144"/>
    <mergeCell ref="A122:A126"/>
    <mergeCell ref="B122:B126"/>
    <mergeCell ref="C122:C126"/>
    <mergeCell ref="D122:D126"/>
    <mergeCell ref="E122:E126"/>
    <mergeCell ref="M122:M126"/>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13" workbookViewId="0">
      <selection activeCell="L25" sqref="L25"/>
    </sheetView>
  </sheetViews>
  <sheetFormatPr defaultColWidth="9.140625" defaultRowHeight="15" x14ac:dyDescent="0.25"/>
  <cols>
    <col min="1" max="1" width="4.42578125" style="84" customWidth="1"/>
    <col min="2" max="2" width="9.140625" style="84"/>
    <col min="3" max="3" width="20" style="84" customWidth="1"/>
    <col min="4" max="4" width="6.140625" style="84" customWidth="1"/>
    <col min="5" max="5" width="9.140625" style="84"/>
    <col min="6" max="6" width="11.140625" style="84" customWidth="1"/>
    <col min="7" max="7" width="9.140625" style="84"/>
    <col min="8" max="8" width="11.140625" style="84" customWidth="1"/>
    <col min="9" max="9" width="10" style="84" customWidth="1"/>
    <col min="10" max="10" width="12.7109375" style="84" customWidth="1"/>
    <col min="11" max="12" width="9.140625" style="84"/>
    <col min="13" max="13" width="10" style="84" customWidth="1"/>
    <col min="14" max="16384" width="9.140625" style="84"/>
  </cols>
  <sheetData>
    <row r="1" spans="1:15" ht="15.6" x14ac:dyDescent="0.3">
      <c r="A1" s="83"/>
    </row>
    <row r="2" spans="1:15" ht="15.75" x14ac:dyDescent="0.25">
      <c r="A2" s="85" t="s">
        <v>141</v>
      </c>
    </row>
    <row r="3" spans="1:15" ht="16.149999999999999" thickBot="1" x14ac:dyDescent="0.35">
      <c r="A3" s="83"/>
    </row>
    <row r="4" spans="1:15" ht="35.25" customHeight="1" thickBot="1" x14ac:dyDescent="0.3">
      <c r="A4" s="534" t="s">
        <v>10</v>
      </c>
      <c r="B4" s="534" t="s">
        <v>142</v>
      </c>
      <c r="C4" s="534" t="s">
        <v>143</v>
      </c>
      <c r="D4" s="534" t="s">
        <v>144</v>
      </c>
      <c r="E4" s="534" t="s">
        <v>145</v>
      </c>
      <c r="F4" s="534" t="s">
        <v>146</v>
      </c>
      <c r="G4" s="540" t="s">
        <v>147</v>
      </c>
      <c r="H4" s="541"/>
      <c r="I4" s="542" t="s">
        <v>148</v>
      </c>
      <c r="J4" s="543"/>
      <c r="K4" s="544"/>
      <c r="L4" s="544"/>
      <c r="M4" s="534" t="s">
        <v>149</v>
      </c>
      <c r="N4" s="534" t="s">
        <v>38</v>
      </c>
    </row>
    <row r="5" spans="1:15" ht="15.75" customHeight="1" x14ac:dyDescent="0.25">
      <c r="A5" s="539"/>
      <c r="B5" s="539"/>
      <c r="C5" s="539"/>
      <c r="D5" s="539"/>
      <c r="E5" s="539"/>
      <c r="F5" s="539"/>
      <c r="G5" s="536" t="s">
        <v>12</v>
      </c>
      <c r="H5" s="534" t="s">
        <v>130</v>
      </c>
      <c r="I5" s="534" t="s">
        <v>401</v>
      </c>
      <c r="J5" s="534" t="s">
        <v>402</v>
      </c>
      <c r="K5" s="534" t="s">
        <v>35</v>
      </c>
      <c r="L5" s="534" t="s">
        <v>36</v>
      </c>
      <c r="M5" s="539"/>
      <c r="N5" s="539"/>
    </row>
    <row r="6" spans="1:15" ht="33.75" customHeight="1" thickBot="1" x14ac:dyDescent="0.3">
      <c r="A6" s="538"/>
      <c r="B6" s="538"/>
      <c r="C6" s="538"/>
      <c r="D6" s="538"/>
      <c r="E6" s="538"/>
      <c r="F6" s="538"/>
      <c r="G6" s="537"/>
      <c r="H6" s="538"/>
      <c r="I6" s="538" t="s">
        <v>33</v>
      </c>
      <c r="J6" s="538" t="s">
        <v>34</v>
      </c>
      <c r="K6" s="538" t="s">
        <v>35</v>
      </c>
      <c r="L6" s="538" t="s">
        <v>36</v>
      </c>
      <c r="M6" s="539"/>
      <c r="N6" s="538"/>
    </row>
    <row r="7" spans="1:15" ht="15.75" thickBot="1" x14ac:dyDescent="0.3">
      <c r="A7" s="86">
        <v>1</v>
      </c>
      <c r="B7" s="87" t="s">
        <v>150</v>
      </c>
      <c r="C7" s="88" t="s">
        <v>151</v>
      </c>
      <c r="D7" s="89" t="s">
        <v>83</v>
      </c>
      <c r="E7" s="90">
        <v>373</v>
      </c>
      <c r="F7" s="91">
        <v>1749</v>
      </c>
      <c r="G7" s="91">
        <v>1749</v>
      </c>
      <c r="H7" s="91">
        <v>752.6</v>
      </c>
      <c r="I7" s="92">
        <v>1399.61</v>
      </c>
      <c r="J7" s="91">
        <f>525358.83/1000</f>
        <v>525.35883000000001</v>
      </c>
      <c r="K7" s="90" t="s">
        <v>132</v>
      </c>
      <c r="L7" s="92"/>
      <c r="M7" s="93"/>
      <c r="N7" s="93"/>
      <c r="O7" s="100" t="s">
        <v>307</v>
      </c>
    </row>
    <row r="8" spans="1:15" ht="15.75" thickBot="1" x14ac:dyDescent="0.3">
      <c r="A8" s="86">
        <v>2</v>
      </c>
      <c r="B8" s="87" t="s">
        <v>150</v>
      </c>
      <c r="C8" s="88" t="s">
        <v>152</v>
      </c>
      <c r="D8" s="89" t="s">
        <v>83</v>
      </c>
      <c r="E8" s="87">
        <v>158</v>
      </c>
      <c r="F8" s="92">
        <v>2142</v>
      </c>
      <c r="G8" s="92">
        <v>1831</v>
      </c>
      <c r="H8" s="92">
        <v>643</v>
      </c>
      <c r="I8" s="92">
        <v>1320.55</v>
      </c>
      <c r="J8" s="91">
        <f>1146907.81/1000</f>
        <v>1146.9078100000002</v>
      </c>
      <c r="K8" s="90" t="s">
        <v>132</v>
      </c>
      <c r="L8" s="92"/>
      <c r="M8" s="94"/>
      <c r="N8" s="94"/>
    </row>
    <row r="9" spans="1:15" ht="15.75" customHeight="1" thickBot="1" x14ac:dyDescent="0.3">
      <c r="A9" s="86">
        <v>3</v>
      </c>
      <c r="B9" s="87" t="s">
        <v>150</v>
      </c>
      <c r="C9" s="88" t="s">
        <v>153</v>
      </c>
      <c r="D9" s="89" t="s">
        <v>83</v>
      </c>
      <c r="E9" s="87">
        <v>283</v>
      </c>
      <c r="F9" s="92">
        <v>4276</v>
      </c>
      <c r="G9" s="92">
        <v>2450</v>
      </c>
      <c r="H9" s="92">
        <v>1882.3</v>
      </c>
      <c r="I9" s="92">
        <v>1982.26</v>
      </c>
      <c r="J9" s="91">
        <f>1313952.51/1000</f>
        <v>1313.9525100000001</v>
      </c>
      <c r="K9" s="90" t="s">
        <v>132</v>
      </c>
      <c r="L9" s="92"/>
      <c r="M9" s="545" t="s">
        <v>154</v>
      </c>
      <c r="N9" s="545" t="s">
        <v>155</v>
      </c>
    </row>
    <row r="10" spans="1:15" ht="77.25" thickBot="1" x14ac:dyDescent="0.3">
      <c r="A10" s="86">
        <v>4</v>
      </c>
      <c r="B10" s="87" t="s">
        <v>150</v>
      </c>
      <c r="C10" s="95" t="s">
        <v>156</v>
      </c>
      <c r="D10" s="89" t="s">
        <v>83</v>
      </c>
      <c r="E10" s="90">
        <v>71</v>
      </c>
      <c r="F10" s="90">
        <v>505.3</v>
      </c>
      <c r="G10" s="90">
        <v>505.3</v>
      </c>
      <c r="H10" s="90">
        <v>648.6</v>
      </c>
      <c r="I10" s="87">
        <v>364.43</v>
      </c>
      <c r="J10" s="91">
        <f>452759.79/1000</f>
        <v>452.75978999999995</v>
      </c>
      <c r="K10" s="90" t="s">
        <v>132</v>
      </c>
      <c r="L10" s="87"/>
      <c r="M10" s="546"/>
      <c r="N10" s="546"/>
    </row>
    <row r="11" spans="1:15" ht="15.75" thickBot="1" x14ac:dyDescent="0.3">
      <c r="A11" s="86">
        <v>5</v>
      </c>
      <c r="B11" s="87" t="s">
        <v>150</v>
      </c>
      <c r="C11" s="95" t="s">
        <v>157</v>
      </c>
      <c r="D11" s="89" t="s">
        <v>83</v>
      </c>
      <c r="E11" s="90">
        <v>581</v>
      </c>
      <c r="F11" s="91">
        <v>6133</v>
      </c>
      <c r="G11" s="91">
        <v>5651</v>
      </c>
      <c r="H11" s="91">
        <v>4348</v>
      </c>
      <c r="I11" s="92">
        <v>4433.68</v>
      </c>
      <c r="J11" s="91">
        <f>3376442.91/1000</f>
        <v>3376.4429100000002</v>
      </c>
      <c r="K11" s="90" t="s">
        <v>132</v>
      </c>
      <c r="L11" s="92"/>
      <c r="M11" s="546"/>
      <c r="N11" s="546"/>
    </row>
    <row r="12" spans="1:15" ht="26.25" thickBot="1" x14ac:dyDescent="0.3">
      <c r="A12" s="86">
        <v>6</v>
      </c>
      <c r="B12" s="87" t="s">
        <v>150</v>
      </c>
      <c r="C12" s="88" t="s">
        <v>158</v>
      </c>
      <c r="D12" s="89" t="s">
        <v>83</v>
      </c>
      <c r="E12" s="90">
        <v>95.6</v>
      </c>
      <c r="F12" s="90">
        <v>585</v>
      </c>
      <c r="G12" s="90">
        <v>441</v>
      </c>
      <c r="H12" s="90">
        <v>438</v>
      </c>
      <c r="I12" s="87">
        <v>346.33</v>
      </c>
      <c r="J12" s="91">
        <f>355335.9/1000</f>
        <v>355.33590000000004</v>
      </c>
      <c r="K12" s="90" t="s">
        <v>132</v>
      </c>
      <c r="L12" s="87"/>
      <c r="M12" s="546"/>
      <c r="N12" s="546"/>
    </row>
    <row r="13" spans="1:15" ht="15.75" thickBot="1" x14ac:dyDescent="0.3">
      <c r="A13" s="86">
        <v>7</v>
      </c>
      <c r="B13" s="87" t="s">
        <v>150</v>
      </c>
      <c r="C13" s="95" t="s">
        <v>159</v>
      </c>
      <c r="D13" s="89" t="s">
        <v>83</v>
      </c>
      <c r="E13" s="91">
        <v>2891</v>
      </c>
      <c r="F13" s="91">
        <v>29695</v>
      </c>
      <c r="G13" s="91">
        <v>3997.1</v>
      </c>
      <c r="H13" s="91">
        <v>3997.1</v>
      </c>
      <c r="I13" s="92">
        <v>3402.27</v>
      </c>
      <c r="J13" s="91">
        <f>2790203.47/1000</f>
        <v>2790.2034700000004</v>
      </c>
      <c r="K13" s="90" t="s">
        <v>132</v>
      </c>
      <c r="L13" s="92"/>
      <c r="M13" s="546"/>
      <c r="N13" s="546"/>
    </row>
    <row r="14" spans="1:15" ht="39" thickBot="1" x14ac:dyDescent="0.3">
      <c r="A14" s="86">
        <v>8</v>
      </c>
      <c r="B14" s="87" t="s">
        <v>150</v>
      </c>
      <c r="C14" s="95" t="s">
        <v>160</v>
      </c>
      <c r="D14" s="89" t="s">
        <v>83</v>
      </c>
      <c r="E14" s="90">
        <v>452</v>
      </c>
      <c r="F14" s="91">
        <v>5709</v>
      </c>
      <c r="G14" s="91">
        <v>4506</v>
      </c>
      <c r="H14" s="91">
        <v>4880</v>
      </c>
      <c r="I14" s="92">
        <v>3535.64</v>
      </c>
      <c r="J14" s="91">
        <f>3678617.86/1000</f>
        <v>3678.6178599999998</v>
      </c>
      <c r="K14" s="90" t="s">
        <v>132</v>
      </c>
      <c r="L14" s="92"/>
      <c r="M14" s="546"/>
      <c r="N14" s="546"/>
    </row>
    <row r="15" spans="1:15" ht="15.75" thickBot="1" x14ac:dyDescent="0.3">
      <c r="A15" s="86">
        <v>9</v>
      </c>
      <c r="B15" s="87" t="s">
        <v>150</v>
      </c>
      <c r="C15" s="95" t="s">
        <v>161</v>
      </c>
      <c r="D15" s="89" t="s">
        <v>83</v>
      </c>
      <c r="E15" s="87">
        <v>804</v>
      </c>
      <c r="F15" s="92">
        <v>9849</v>
      </c>
      <c r="G15" s="91">
        <v>8914</v>
      </c>
      <c r="H15" s="91">
        <v>8327.5</v>
      </c>
      <c r="I15" s="92">
        <v>7399.81</v>
      </c>
      <c r="J15" s="91">
        <f>6062221.09/1000</f>
        <v>6062.22109</v>
      </c>
      <c r="K15" s="90" t="s">
        <v>132</v>
      </c>
      <c r="L15" s="92"/>
      <c r="M15" s="546"/>
      <c r="N15" s="546"/>
    </row>
    <row r="16" spans="1:15" ht="15.75" thickBot="1" x14ac:dyDescent="0.3">
      <c r="A16" s="86">
        <v>10</v>
      </c>
      <c r="B16" s="87" t="s">
        <v>150</v>
      </c>
      <c r="C16" s="95" t="s">
        <v>104</v>
      </c>
      <c r="D16" s="89" t="s">
        <v>83</v>
      </c>
      <c r="E16" s="92">
        <v>1844</v>
      </c>
      <c r="F16" s="92">
        <v>43705</v>
      </c>
      <c r="G16" s="91">
        <v>31956</v>
      </c>
      <c r="H16" s="91">
        <v>30043.8</v>
      </c>
      <c r="I16" s="92">
        <v>23714.17</v>
      </c>
      <c r="J16" s="91">
        <f>21607183.28/1000</f>
        <v>21607.183280000001</v>
      </c>
      <c r="K16" s="90" t="s">
        <v>132</v>
      </c>
      <c r="L16" s="92"/>
      <c r="M16" s="546"/>
      <c r="N16" s="546"/>
    </row>
    <row r="17" spans="1:15" ht="15.75" thickBot="1" x14ac:dyDescent="0.3">
      <c r="A17" s="86">
        <v>11</v>
      </c>
      <c r="B17" s="87" t="s">
        <v>150</v>
      </c>
      <c r="C17" s="95" t="s">
        <v>76</v>
      </c>
      <c r="D17" s="89" t="s">
        <v>83</v>
      </c>
      <c r="E17" s="90">
        <v>342</v>
      </c>
      <c r="F17" s="91">
        <v>2482</v>
      </c>
      <c r="G17" s="91">
        <v>2002</v>
      </c>
      <c r="H17" s="91">
        <v>1871.7</v>
      </c>
      <c r="I17" s="92">
        <v>1443.87</v>
      </c>
      <c r="J17" s="91">
        <f>1306543.81/1000</f>
        <v>1306.5438100000001</v>
      </c>
      <c r="K17" s="90" t="s">
        <v>132</v>
      </c>
      <c r="L17" s="92"/>
      <c r="M17" s="546"/>
      <c r="N17" s="546"/>
    </row>
    <row r="18" spans="1:15" ht="39" thickBot="1" x14ac:dyDescent="0.3">
      <c r="A18" s="86">
        <v>12</v>
      </c>
      <c r="B18" s="87" t="s">
        <v>150</v>
      </c>
      <c r="C18" s="95" t="s">
        <v>162</v>
      </c>
      <c r="D18" s="89" t="s">
        <v>83</v>
      </c>
      <c r="E18" s="87">
        <v>198</v>
      </c>
      <c r="F18" s="92">
        <v>2845</v>
      </c>
      <c r="G18" s="92">
        <v>2479</v>
      </c>
      <c r="H18" s="92">
        <v>2583.6999999999998</v>
      </c>
      <c r="I18" s="92">
        <v>1787.9</v>
      </c>
      <c r="J18" s="91">
        <f>1803569.69/1000</f>
        <v>1803.56969</v>
      </c>
      <c r="K18" s="90" t="s">
        <v>132</v>
      </c>
      <c r="L18" s="92"/>
      <c r="M18" s="546"/>
      <c r="N18" s="546"/>
    </row>
    <row r="19" spans="1:15" ht="15.75" thickBot="1" x14ac:dyDescent="0.3">
      <c r="A19" s="86">
        <v>13</v>
      </c>
      <c r="B19" s="87" t="s">
        <v>150</v>
      </c>
      <c r="C19" s="95" t="s">
        <v>163</v>
      </c>
      <c r="D19" s="89" t="s">
        <v>83</v>
      </c>
      <c r="E19" s="87">
        <v>274</v>
      </c>
      <c r="F19" s="87">
        <v>815</v>
      </c>
      <c r="G19" s="87">
        <v>815</v>
      </c>
      <c r="H19" s="87">
        <v>573.29999999999995</v>
      </c>
      <c r="I19" s="87">
        <v>587.79</v>
      </c>
      <c r="J19" s="91">
        <f>400196.01/1000</f>
        <v>400.19601</v>
      </c>
      <c r="K19" s="90" t="s">
        <v>132</v>
      </c>
      <c r="L19" s="87"/>
      <c r="M19" s="546"/>
      <c r="N19" s="546"/>
    </row>
    <row r="20" spans="1:15" ht="15.75" thickBot="1" x14ac:dyDescent="0.3">
      <c r="A20" s="86">
        <v>14</v>
      </c>
      <c r="B20" s="87" t="s">
        <v>150</v>
      </c>
      <c r="C20" s="95" t="s">
        <v>164</v>
      </c>
      <c r="D20" s="89" t="s">
        <v>83</v>
      </c>
      <c r="E20" s="87">
        <v>196</v>
      </c>
      <c r="F20" s="87">
        <v>508</v>
      </c>
      <c r="G20" s="87">
        <v>508</v>
      </c>
      <c r="H20" s="87">
        <v>622.5</v>
      </c>
      <c r="I20" s="87">
        <v>366.38</v>
      </c>
      <c r="J20" s="91">
        <f>434540.51/1000</f>
        <v>434.54050999999998</v>
      </c>
      <c r="K20" s="90" t="s">
        <v>132</v>
      </c>
      <c r="L20" s="87"/>
      <c r="M20" s="546"/>
      <c r="N20" s="546"/>
    </row>
    <row r="21" spans="1:15" ht="15.75" thickBot="1" x14ac:dyDescent="0.3">
      <c r="A21" s="86">
        <v>15</v>
      </c>
      <c r="B21" s="87" t="s">
        <v>150</v>
      </c>
      <c r="C21" s="95" t="s">
        <v>165</v>
      </c>
      <c r="D21" s="89" t="s">
        <v>83</v>
      </c>
      <c r="E21" s="87">
        <v>180</v>
      </c>
      <c r="F21" s="87">
        <v>550</v>
      </c>
      <c r="G21" s="87">
        <v>550</v>
      </c>
      <c r="H21" s="87">
        <v>646.5</v>
      </c>
      <c r="I21" s="87">
        <v>396.67</v>
      </c>
      <c r="J21" s="91">
        <f>450944.86/1000</f>
        <v>450.94486000000001</v>
      </c>
      <c r="K21" s="90" t="s">
        <v>132</v>
      </c>
      <c r="L21" s="87"/>
      <c r="M21" s="547"/>
      <c r="N21" s="547"/>
    </row>
    <row r="22" spans="1:15" ht="15.75" thickBot="1" x14ac:dyDescent="0.3">
      <c r="A22" s="86"/>
      <c r="B22" s="87"/>
      <c r="C22" s="96" t="s">
        <v>166</v>
      </c>
      <c r="D22" s="89"/>
      <c r="E22" s="97">
        <f>SUM(E7:E21)</f>
        <v>8742.6</v>
      </c>
      <c r="F22" s="97">
        <f>SUM(F7:F21)</f>
        <v>111548.3</v>
      </c>
      <c r="G22" s="92">
        <f>SUM(G7:G21)</f>
        <v>68354.399999999994</v>
      </c>
      <c r="H22" s="92">
        <f>SUM(H7:H21)</f>
        <v>62258.599999999991</v>
      </c>
      <c r="I22" s="97">
        <v>53216.1</v>
      </c>
      <c r="J22" s="97">
        <f>SUM(J7:J21)</f>
        <v>45704.778330000001</v>
      </c>
      <c r="K22" s="90" t="s">
        <v>132</v>
      </c>
      <c r="L22" s="87" t="s">
        <v>132</v>
      </c>
      <c r="M22" s="98"/>
      <c r="N22" s="99"/>
      <c r="O22" s="100" t="s">
        <v>167</v>
      </c>
    </row>
    <row r="23" spans="1:15" ht="26.25" thickBot="1" x14ac:dyDescent="0.3">
      <c r="A23" s="86"/>
      <c r="B23" s="87"/>
      <c r="C23" s="95" t="s">
        <v>306</v>
      </c>
      <c r="D23" s="89"/>
      <c r="E23" s="87"/>
      <c r="F23" s="87"/>
      <c r="G23" s="87"/>
      <c r="H23" s="87"/>
      <c r="I23" s="275">
        <v>734.74</v>
      </c>
      <c r="J23" s="246">
        <f>330632.6/1000</f>
        <v>330.63259999999997</v>
      </c>
      <c r="K23" s="90"/>
      <c r="L23" s="87"/>
      <c r="M23" s="92" t="s">
        <v>168</v>
      </c>
      <c r="N23" s="273" t="s">
        <v>169</v>
      </c>
      <c r="O23" s="274"/>
    </row>
    <row r="24" spans="1:15" x14ac:dyDescent="0.25">
      <c r="A24" s="276"/>
      <c r="B24" s="277"/>
      <c r="C24" s="278" t="s">
        <v>171</v>
      </c>
      <c r="D24" s="277"/>
      <c r="E24" s="279"/>
      <c r="F24" s="279"/>
      <c r="G24" s="279"/>
      <c r="H24" s="279"/>
      <c r="I24" s="279"/>
      <c r="J24" s="279">
        <f>J23</f>
        <v>330.63259999999997</v>
      </c>
      <c r="K24" s="280"/>
      <c r="L24" s="279"/>
      <c r="M24" s="93"/>
      <c r="N24" s="103"/>
    </row>
    <row r="25" spans="1:15" ht="15.75" x14ac:dyDescent="0.25">
      <c r="A25" s="281"/>
      <c r="B25" s="282"/>
      <c r="C25" s="282" t="s">
        <v>403</v>
      </c>
      <c r="D25" s="282"/>
      <c r="E25" s="282"/>
      <c r="F25" s="282"/>
      <c r="G25" s="282"/>
      <c r="H25" s="282"/>
      <c r="I25" s="283">
        <f>I22+I23</f>
        <v>53950.84</v>
      </c>
      <c r="J25" s="290">
        <f>J22+J24</f>
        <v>46035.410929999998</v>
      </c>
      <c r="K25" s="282"/>
      <c r="L25" s="282"/>
      <c r="M25" s="282"/>
      <c r="N25" s="282"/>
    </row>
    <row r="26" spans="1:15" ht="15.75" x14ac:dyDescent="0.25">
      <c r="A26" s="85" t="s">
        <v>172</v>
      </c>
    </row>
    <row r="27" spans="1:15" ht="16.149999999999999" thickBot="1" x14ac:dyDescent="0.35">
      <c r="A27" s="85"/>
    </row>
    <row r="28" spans="1:15" ht="35.25" customHeight="1" thickBot="1" x14ac:dyDescent="0.3">
      <c r="A28" s="534" t="s">
        <v>10</v>
      </c>
      <c r="B28" s="534" t="s">
        <v>142</v>
      </c>
      <c r="C28" s="534" t="s">
        <v>143</v>
      </c>
      <c r="D28" s="534" t="s">
        <v>144</v>
      </c>
      <c r="E28" s="534" t="s">
        <v>145</v>
      </c>
      <c r="F28" s="534" t="s">
        <v>146</v>
      </c>
      <c r="G28" s="540" t="s">
        <v>147</v>
      </c>
      <c r="H28" s="541"/>
      <c r="I28" s="542" t="s">
        <v>148</v>
      </c>
      <c r="J28" s="543"/>
      <c r="K28" s="544"/>
      <c r="L28" s="544"/>
      <c r="M28" s="102"/>
      <c r="N28" s="103"/>
    </row>
    <row r="29" spans="1:15" ht="15.75" customHeight="1" x14ac:dyDescent="0.25">
      <c r="A29" s="539"/>
      <c r="B29" s="539"/>
      <c r="C29" s="539"/>
      <c r="D29" s="539"/>
      <c r="E29" s="539"/>
      <c r="F29" s="539"/>
      <c r="G29" s="536" t="s">
        <v>12</v>
      </c>
      <c r="H29" s="534" t="s">
        <v>130</v>
      </c>
      <c r="I29" s="534" t="s">
        <v>401</v>
      </c>
      <c r="J29" s="534" t="s">
        <v>34</v>
      </c>
      <c r="K29" s="534" t="s">
        <v>35</v>
      </c>
      <c r="L29" s="534" t="s">
        <v>36</v>
      </c>
      <c r="M29" s="534" t="s">
        <v>149</v>
      </c>
      <c r="N29" s="534" t="s">
        <v>38</v>
      </c>
    </row>
    <row r="30" spans="1:15" ht="47.25" customHeight="1" thickBot="1" x14ac:dyDescent="0.3">
      <c r="A30" s="538"/>
      <c r="B30" s="538"/>
      <c r="C30" s="538"/>
      <c r="D30" s="538"/>
      <c r="E30" s="538"/>
      <c r="F30" s="538"/>
      <c r="G30" s="537"/>
      <c r="H30" s="538"/>
      <c r="I30" s="538" t="s">
        <v>33</v>
      </c>
      <c r="J30" s="538" t="s">
        <v>34</v>
      </c>
      <c r="K30" s="538" t="s">
        <v>35</v>
      </c>
      <c r="L30" s="535" t="s">
        <v>36</v>
      </c>
      <c r="M30" s="535"/>
      <c r="N30" s="535"/>
    </row>
    <row r="31" spans="1:15" ht="26.25" customHeight="1" thickBot="1" x14ac:dyDescent="0.3">
      <c r="A31" s="86">
        <v>1</v>
      </c>
      <c r="B31" s="87" t="s">
        <v>150</v>
      </c>
      <c r="C31" s="88" t="s">
        <v>153</v>
      </c>
      <c r="D31" s="89" t="s">
        <v>83</v>
      </c>
      <c r="E31" s="90">
        <v>283</v>
      </c>
      <c r="F31" s="91">
        <v>4276</v>
      </c>
      <c r="G31" s="90">
        <v>853.5</v>
      </c>
      <c r="H31" s="90"/>
      <c r="I31" s="87">
        <v>690.34</v>
      </c>
      <c r="J31" s="90" t="s">
        <v>132</v>
      </c>
      <c r="K31" s="90" t="s">
        <v>132</v>
      </c>
      <c r="L31" s="104"/>
      <c r="M31" s="105" t="s">
        <v>154</v>
      </c>
      <c r="N31" s="106" t="s">
        <v>173</v>
      </c>
      <c r="O31" s="100" t="s">
        <v>174</v>
      </c>
    </row>
    <row r="32" spans="1:15" ht="15.75" thickBot="1" x14ac:dyDescent="0.3">
      <c r="A32" s="86"/>
      <c r="B32" s="87"/>
      <c r="C32" s="95" t="s">
        <v>115</v>
      </c>
      <c r="D32" s="89"/>
      <c r="E32" s="87"/>
      <c r="F32" s="87"/>
      <c r="G32" s="87"/>
      <c r="H32" s="87"/>
      <c r="I32" s="245">
        <v>9.66</v>
      </c>
      <c r="J32" s="90"/>
      <c r="K32" s="90"/>
      <c r="L32" s="107"/>
      <c r="M32" s="108"/>
      <c r="N32" s="109"/>
      <c r="O32" s="100" t="s">
        <v>170</v>
      </c>
    </row>
    <row r="33" spans="1:14" ht="15.75" thickBot="1" x14ac:dyDescent="0.3">
      <c r="A33" s="86"/>
      <c r="B33" s="87"/>
      <c r="C33" s="87"/>
      <c r="D33" s="87"/>
      <c r="E33" s="101">
        <v>283</v>
      </c>
      <c r="F33" s="101" t="s">
        <v>175</v>
      </c>
      <c r="G33" s="101">
        <v>853.5</v>
      </c>
      <c r="H33" s="101"/>
      <c r="I33" s="101">
        <v>700.01</v>
      </c>
      <c r="J33" s="101"/>
      <c r="K33" s="101">
        <v>0</v>
      </c>
      <c r="L33" s="110"/>
      <c r="M33" s="111"/>
      <c r="N33" s="112"/>
    </row>
    <row r="34" spans="1:14" ht="15.75" x14ac:dyDescent="0.25">
      <c r="A34" s="83"/>
    </row>
    <row r="35" spans="1:14" x14ac:dyDescent="0.25">
      <c r="I35" s="218">
        <f>I22+I33</f>
        <v>53916.11</v>
      </c>
    </row>
  </sheetData>
  <mergeCells count="34">
    <mergeCell ref="N9:N21"/>
    <mergeCell ref="F4:F6"/>
    <mergeCell ref="A4:A6"/>
    <mergeCell ref="B4:B6"/>
    <mergeCell ref="C4:C6"/>
    <mergeCell ref="D4:D6"/>
    <mergeCell ref="E4:E6"/>
    <mergeCell ref="N4:N6"/>
    <mergeCell ref="G5:G6"/>
    <mergeCell ref="H5:H6"/>
    <mergeCell ref="I5:I6"/>
    <mergeCell ref="J5:J6"/>
    <mergeCell ref="K5:K6"/>
    <mergeCell ref="L5:L6"/>
    <mergeCell ref="G4:H4"/>
    <mergeCell ref="I4:L4"/>
    <mergeCell ref="M4:M6"/>
    <mergeCell ref="A28:A30"/>
    <mergeCell ref="B28:B30"/>
    <mergeCell ref="C28:C30"/>
    <mergeCell ref="D28:D30"/>
    <mergeCell ref="E28:E30"/>
    <mergeCell ref="F28:F30"/>
    <mergeCell ref="G28:H28"/>
    <mergeCell ref="I28:L28"/>
    <mergeCell ref="M29:M30"/>
    <mergeCell ref="M9:M21"/>
    <mergeCell ref="N29:N30"/>
    <mergeCell ref="G29:G30"/>
    <mergeCell ref="H29:H30"/>
    <mergeCell ref="I29:I30"/>
    <mergeCell ref="J29:J30"/>
    <mergeCell ref="K29:K30"/>
    <mergeCell ref="L29:L30"/>
  </mergeCells>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
  <sheetViews>
    <sheetView topLeftCell="A83" workbookViewId="0">
      <selection activeCell="T113" sqref="T113"/>
    </sheetView>
  </sheetViews>
  <sheetFormatPr defaultRowHeight="15" x14ac:dyDescent="0.25"/>
  <cols>
    <col min="1" max="1" width="4.5703125" customWidth="1"/>
    <col min="2" max="2" width="14.7109375" customWidth="1"/>
    <col min="3" max="3" width="6.140625" customWidth="1"/>
    <col min="4" max="4" width="4.7109375" customWidth="1"/>
    <col min="8" max="8" width="5.85546875" customWidth="1"/>
    <col min="9" max="9" width="6.28515625" customWidth="1"/>
    <col min="10" max="10" width="7.28515625" customWidth="1"/>
    <col min="13" max="13" width="27.140625" customWidth="1"/>
    <col min="14" max="15" width="8.28515625" customWidth="1"/>
    <col min="16" max="16" width="10.140625" customWidth="1"/>
    <col min="17" max="17" width="12.28515625" customWidth="1"/>
    <col min="18" max="18" width="12" customWidth="1"/>
    <col min="19" max="19" width="11.85546875" customWidth="1"/>
    <col min="20" max="20" width="12.42578125" bestFit="1" customWidth="1"/>
    <col min="21" max="21" width="12.85546875" customWidth="1"/>
    <col min="23" max="23" width="14.28515625" customWidth="1"/>
  </cols>
  <sheetData>
    <row r="1" spans="1:22" ht="16.5" thickBot="1" x14ac:dyDescent="0.3">
      <c r="A1" s="548" t="s">
        <v>194</v>
      </c>
      <c r="B1" s="548"/>
      <c r="C1" s="548"/>
      <c r="D1" s="548"/>
      <c r="E1" s="548"/>
      <c r="F1" s="548"/>
      <c r="G1" s="548"/>
      <c r="H1" s="548"/>
      <c r="I1" s="548"/>
      <c r="J1" s="548"/>
      <c r="K1" s="548"/>
      <c r="L1" s="548"/>
      <c r="M1" s="548"/>
      <c r="N1" s="548"/>
      <c r="O1" s="548"/>
      <c r="P1" s="548"/>
      <c r="Q1" s="548"/>
      <c r="R1" s="548"/>
    </row>
    <row r="2" spans="1:22" ht="68.25" customHeight="1" thickBot="1" x14ac:dyDescent="0.3">
      <c r="A2" s="549" t="s">
        <v>195</v>
      </c>
      <c r="B2" s="549" t="s">
        <v>25</v>
      </c>
      <c r="C2" s="549" t="s">
        <v>11</v>
      </c>
      <c r="D2" s="549" t="s">
        <v>125</v>
      </c>
      <c r="E2" s="549" t="s">
        <v>196</v>
      </c>
      <c r="F2" s="549" t="s">
        <v>197</v>
      </c>
      <c r="G2" s="549" t="s">
        <v>198</v>
      </c>
      <c r="H2" s="549" t="s">
        <v>199</v>
      </c>
      <c r="I2" s="549" t="s">
        <v>200</v>
      </c>
      <c r="J2" s="549" t="s">
        <v>201</v>
      </c>
      <c r="K2" s="549" t="s">
        <v>202</v>
      </c>
      <c r="L2" s="549" t="s">
        <v>203</v>
      </c>
      <c r="M2" s="549" t="s">
        <v>204</v>
      </c>
      <c r="N2" s="561" t="s">
        <v>205</v>
      </c>
      <c r="O2" s="562"/>
      <c r="P2" s="563"/>
      <c r="Q2" s="549" t="s">
        <v>206</v>
      </c>
      <c r="R2" s="551" t="s">
        <v>571</v>
      </c>
      <c r="S2" s="553" t="s">
        <v>207</v>
      </c>
      <c r="T2" s="553" t="s">
        <v>36</v>
      </c>
      <c r="U2" s="553" t="s">
        <v>37</v>
      </c>
      <c r="V2" s="553" t="s">
        <v>38</v>
      </c>
    </row>
    <row r="3" spans="1:22" ht="44.25" customHeight="1" thickBot="1" x14ac:dyDescent="0.3">
      <c r="A3" s="550"/>
      <c r="B3" s="550"/>
      <c r="C3" s="550"/>
      <c r="D3" s="550"/>
      <c r="E3" s="550"/>
      <c r="F3" s="550"/>
      <c r="G3" s="550"/>
      <c r="H3" s="550"/>
      <c r="I3" s="550"/>
      <c r="J3" s="550"/>
      <c r="K3" s="550"/>
      <c r="L3" s="550"/>
      <c r="M3" s="550"/>
      <c r="N3" s="123" t="s">
        <v>208</v>
      </c>
      <c r="O3" s="123" t="s">
        <v>209</v>
      </c>
      <c r="P3" s="337" t="s">
        <v>31</v>
      </c>
      <c r="Q3" s="550"/>
      <c r="R3" s="552"/>
      <c r="S3" s="554"/>
      <c r="T3" s="554"/>
      <c r="U3" s="554"/>
      <c r="V3" s="554"/>
    </row>
    <row r="4" spans="1:22" thickBot="1" x14ac:dyDescent="0.35">
      <c r="A4" s="124">
        <v>1</v>
      </c>
      <c r="B4" s="125">
        <v>2</v>
      </c>
      <c r="C4" s="125">
        <v>3</v>
      </c>
      <c r="D4" s="125">
        <v>4</v>
      </c>
      <c r="E4" s="125">
        <v>5</v>
      </c>
      <c r="F4" s="125">
        <v>6</v>
      </c>
      <c r="G4" s="125">
        <v>7</v>
      </c>
      <c r="H4" s="125">
        <v>8</v>
      </c>
      <c r="I4" s="125">
        <v>9</v>
      </c>
      <c r="J4" s="125">
        <v>10</v>
      </c>
      <c r="K4" s="125">
        <v>11</v>
      </c>
      <c r="L4" s="125">
        <v>12</v>
      </c>
      <c r="M4" s="125">
        <v>13</v>
      </c>
      <c r="N4" s="125">
        <v>14</v>
      </c>
      <c r="O4" s="125">
        <v>15</v>
      </c>
      <c r="P4" s="125">
        <v>16</v>
      </c>
      <c r="Q4" s="125">
        <v>17</v>
      </c>
      <c r="R4" s="126">
        <v>18</v>
      </c>
      <c r="S4" s="127">
        <v>19</v>
      </c>
      <c r="T4" s="127">
        <v>20</v>
      </c>
      <c r="U4" s="127">
        <v>21</v>
      </c>
      <c r="V4" s="127">
        <v>22</v>
      </c>
    </row>
    <row r="5" spans="1:22" ht="29.25" customHeight="1" thickBot="1" x14ac:dyDescent="0.3">
      <c r="A5" s="557">
        <v>1</v>
      </c>
      <c r="B5" s="559" t="s">
        <v>210</v>
      </c>
      <c r="C5" s="559">
        <v>8</v>
      </c>
      <c r="D5" s="559"/>
      <c r="E5" s="559" t="s">
        <v>211</v>
      </c>
      <c r="F5" s="559">
        <v>1976</v>
      </c>
      <c r="G5" s="559" t="s">
        <v>212</v>
      </c>
      <c r="H5" s="559">
        <v>12</v>
      </c>
      <c r="I5" s="559">
        <v>3</v>
      </c>
      <c r="J5" s="559">
        <v>143</v>
      </c>
      <c r="K5" s="564">
        <v>8900.6</v>
      </c>
      <c r="L5" s="564">
        <v>7152.1</v>
      </c>
      <c r="M5" s="128" t="s">
        <v>213</v>
      </c>
      <c r="N5" s="128" t="s">
        <v>214</v>
      </c>
      <c r="O5" s="128">
        <v>295</v>
      </c>
      <c r="P5" s="128">
        <v>295</v>
      </c>
      <c r="Q5" s="129">
        <v>320732.87</v>
      </c>
      <c r="R5" s="129">
        <f>313431.73-(313431.73*0.037)</f>
        <v>301834.75598999998</v>
      </c>
      <c r="S5" s="2"/>
      <c r="T5" s="2"/>
      <c r="U5" s="566" t="s">
        <v>215</v>
      </c>
      <c r="V5" s="566" t="s">
        <v>216</v>
      </c>
    </row>
    <row r="6" spans="1:22" ht="26.25" thickBot="1" x14ac:dyDescent="0.3">
      <c r="A6" s="558"/>
      <c r="B6" s="560"/>
      <c r="C6" s="560"/>
      <c r="D6" s="560"/>
      <c r="E6" s="560"/>
      <c r="F6" s="560"/>
      <c r="G6" s="560"/>
      <c r="H6" s="560"/>
      <c r="I6" s="560"/>
      <c r="J6" s="560"/>
      <c r="K6" s="565"/>
      <c r="L6" s="565"/>
      <c r="M6" s="128" t="s">
        <v>217</v>
      </c>
      <c r="N6" s="128" t="s">
        <v>214</v>
      </c>
      <c r="O6" s="128">
        <v>244</v>
      </c>
      <c r="P6" s="128">
        <v>244</v>
      </c>
      <c r="Q6" s="129">
        <v>296283.84999999998</v>
      </c>
      <c r="R6" s="129">
        <f>289539.28-(289539.28*0.037)</f>
        <v>278826.32664000004</v>
      </c>
      <c r="S6" s="2"/>
      <c r="T6" s="2"/>
      <c r="U6" s="566"/>
      <c r="V6" s="566"/>
    </row>
    <row r="7" spans="1:22" ht="39" thickBot="1" x14ac:dyDescent="0.3">
      <c r="A7" s="558"/>
      <c r="B7" s="560"/>
      <c r="C7" s="560"/>
      <c r="D7" s="560"/>
      <c r="E7" s="560"/>
      <c r="F7" s="560"/>
      <c r="G7" s="560"/>
      <c r="H7" s="560"/>
      <c r="I7" s="560"/>
      <c r="J7" s="560"/>
      <c r="K7" s="565"/>
      <c r="L7" s="565"/>
      <c r="M7" s="128" t="s">
        <v>218</v>
      </c>
      <c r="N7" s="128" t="s">
        <v>214</v>
      </c>
      <c r="O7" s="128">
        <v>691.5</v>
      </c>
      <c r="P7" s="128">
        <v>779.5</v>
      </c>
      <c r="Q7" s="129">
        <v>1070380.68</v>
      </c>
      <c r="R7" s="129">
        <f>1046014.71-(1046014.71*0.0369)+4.77</f>
        <v>1007421.537201</v>
      </c>
      <c r="S7" s="2"/>
      <c r="T7" s="2"/>
      <c r="U7" s="566"/>
      <c r="V7" s="566"/>
    </row>
    <row r="8" spans="1:22" ht="39" thickBot="1" x14ac:dyDescent="0.3">
      <c r="A8" s="558"/>
      <c r="B8" s="560"/>
      <c r="C8" s="560"/>
      <c r="D8" s="560"/>
      <c r="E8" s="560"/>
      <c r="F8" s="560"/>
      <c r="G8" s="560"/>
      <c r="H8" s="560"/>
      <c r="I8" s="560"/>
      <c r="J8" s="560"/>
      <c r="K8" s="565"/>
      <c r="L8" s="565"/>
      <c r="M8" s="128" t="s">
        <v>219</v>
      </c>
      <c r="N8" s="128" t="s">
        <v>214</v>
      </c>
      <c r="O8" s="128">
        <v>166</v>
      </c>
      <c r="P8" s="128">
        <v>166</v>
      </c>
      <c r="Q8" s="129">
        <v>134710.59</v>
      </c>
      <c r="R8" s="129">
        <f>131644.04-(131644.04*0.036)</f>
        <v>126904.85456000001</v>
      </c>
      <c r="S8" s="2"/>
      <c r="T8" s="2"/>
      <c r="U8" s="566"/>
      <c r="V8" s="566"/>
    </row>
    <row r="9" spans="1:22" ht="26.25" thickBot="1" x14ac:dyDescent="0.3">
      <c r="A9" s="558"/>
      <c r="B9" s="560"/>
      <c r="C9" s="560"/>
      <c r="D9" s="560"/>
      <c r="E9" s="560"/>
      <c r="F9" s="560"/>
      <c r="G9" s="560"/>
      <c r="H9" s="560"/>
      <c r="I9" s="560"/>
      <c r="J9" s="560"/>
      <c r="K9" s="565"/>
      <c r="L9" s="565"/>
      <c r="M9" s="131" t="s">
        <v>220</v>
      </c>
      <c r="N9" s="131" t="s">
        <v>51</v>
      </c>
      <c r="O9" s="131">
        <v>3</v>
      </c>
      <c r="P9" s="131">
        <v>3</v>
      </c>
      <c r="Q9" s="132">
        <v>327030.53000000003</v>
      </c>
      <c r="R9" s="129">
        <f>319586.08-(319586.08*0.036)</f>
        <v>308080.98112000001</v>
      </c>
      <c r="S9" s="129"/>
      <c r="T9" s="6"/>
      <c r="U9" s="566"/>
      <c r="V9" s="566"/>
    </row>
    <row r="10" spans="1:22" ht="15.75" thickBot="1" x14ac:dyDescent="0.3">
      <c r="A10" s="133"/>
      <c r="B10" s="134"/>
      <c r="C10" s="134"/>
      <c r="D10" s="134"/>
      <c r="E10" s="134"/>
      <c r="F10" s="134"/>
      <c r="G10" s="134"/>
      <c r="H10" s="134"/>
      <c r="I10" s="134"/>
      <c r="J10" s="134"/>
      <c r="K10" s="135"/>
      <c r="L10" s="135"/>
      <c r="M10" s="136"/>
      <c r="N10" s="136"/>
      <c r="O10" s="136"/>
      <c r="P10" s="136"/>
      <c r="Q10" s="214">
        <f>SUM(Q5:Q9)</f>
        <v>2149138.52</v>
      </c>
      <c r="R10" s="338">
        <f>R5+R6+R7+R8+R9</f>
        <v>2023068.455511</v>
      </c>
      <c r="S10" s="137">
        <v>5198.04</v>
      </c>
      <c r="T10" s="137">
        <v>77147.38</v>
      </c>
      <c r="U10" s="567"/>
      <c r="V10" s="566"/>
    </row>
    <row r="11" spans="1:22" ht="26.25" thickBot="1" x14ac:dyDescent="0.3">
      <c r="A11" s="558">
        <v>2</v>
      </c>
      <c r="B11" s="560" t="s">
        <v>210</v>
      </c>
      <c r="C11" s="560">
        <v>14</v>
      </c>
      <c r="D11" s="560"/>
      <c r="E11" s="560" t="s">
        <v>211</v>
      </c>
      <c r="F11" s="560">
        <v>1977</v>
      </c>
      <c r="G11" s="560" t="s">
        <v>212</v>
      </c>
      <c r="H11" s="560">
        <v>12</v>
      </c>
      <c r="I11" s="560">
        <v>3</v>
      </c>
      <c r="J11" s="560">
        <v>143</v>
      </c>
      <c r="K11" s="565">
        <v>8840.4</v>
      </c>
      <c r="L11" s="565">
        <v>7178.8</v>
      </c>
      <c r="M11" s="128" t="s">
        <v>221</v>
      </c>
      <c r="N11" s="128" t="s">
        <v>214</v>
      </c>
      <c r="O11" s="128">
        <v>295</v>
      </c>
      <c r="P11" s="128">
        <v>295</v>
      </c>
      <c r="Q11" s="129">
        <v>296272.21999999997</v>
      </c>
      <c r="R11" s="129">
        <v>279179.46000000002</v>
      </c>
      <c r="S11" s="4"/>
      <c r="T11" s="4"/>
      <c r="U11" s="566"/>
      <c r="V11" s="566"/>
    </row>
    <row r="12" spans="1:22" ht="39" thickBot="1" x14ac:dyDescent="0.3">
      <c r="A12" s="558"/>
      <c r="B12" s="560"/>
      <c r="C12" s="560"/>
      <c r="D12" s="560"/>
      <c r="E12" s="560"/>
      <c r="F12" s="560"/>
      <c r="G12" s="560"/>
      <c r="H12" s="560"/>
      <c r="I12" s="560"/>
      <c r="J12" s="560"/>
      <c r="K12" s="565"/>
      <c r="L12" s="565"/>
      <c r="M12" s="128" t="s">
        <v>218</v>
      </c>
      <c r="N12" s="128" t="s">
        <v>214</v>
      </c>
      <c r="O12" s="128">
        <v>779.5</v>
      </c>
      <c r="P12" s="128">
        <v>779.5</v>
      </c>
      <c r="Q12" s="129">
        <v>1074911.1599999999</v>
      </c>
      <c r="R12" s="129">
        <v>1007283.36</v>
      </c>
      <c r="S12" s="2"/>
      <c r="T12" s="2"/>
      <c r="U12" s="566"/>
      <c r="V12" s="566"/>
    </row>
    <row r="13" spans="1:22" ht="26.25" thickBot="1" x14ac:dyDescent="0.3">
      <c r="A13" s="558"/>
      <c r="B13" s="560"/>
      <c r="C13" s="560"/>
      <c r="D13" s="560"/>
      <c r="E13" s="560"/>
      <c r="F13" s="560"/>
      <c r="G13" s="560"/>
      <c r="H13" s="560"/>
      <c r="I13" s="560"/>
      <c r="J13" s="560"/>
      <c r="K13" s="565"/>
      <c r="L13" s="565"/>
      <c r="M13" s="128" t="s">
        <v>217</v>
      </c>
      <c r="N13" s="128" t="s">
        <v>214</v>
      </c>
      <c r="O13" s="128">
        <v>244</v>
      </c>
      <c r="P13" s="128">
        <v>244</v>
      </c>
      <c r="Q13" s="129">
        <v>281323.86</v>
      </c>
      <c r="R13" s="129">
        <v>264863.57</v>
      </c>
      <c r="S13" s="2"/>
      <c r="T13" s="2"/>
      <c r="U13" s="566"/>
      <c r="V13" s="566"/>
    </row>
    <row r="14" spans="1:22" ht="39" thickBot="1" x14ac:dyDescent="0.3">
      <c r="A14" s="558"/>
      <c r="B14" s="560"/>
      <c r="C14" s="560"/>
      <c r="D14" s="560"/>
      <c r="E14" s="560"/>
      <c r="F14" s="560"/>
      <c r="G14" s="560"/>
      <c r="H14" s="560"/>
      <c r="I14" s="560"/>
      <c r="J14" s="560"/>
      <c r="K14" s="565"/>
      <c r="L14" s="565"/>
      <c r="M14" s="128" t="s">
        <v>219</v>
      </c>
      <c r="N14" s="128" t="s">
        <v>214</v>
      </c>
      <c r="O14" s="128">
        <v>172</v>
      </c>
      <c r="P14" s="128">
        <v>172</v>
      </c>
      <c r="Q14" s="129">
        <v>139269.71</v>
      </c>
      <c r="R14" s="129">
        <v>130713.79</v>
      </c>
      <c r="S14" s="2"/>
      <c r="T14" s="2"/>
      <c r="U14" s="566"/>
      <c r="V14" s="566"/>
    </row>
    <row r="15" spans="1:22" ht="26.25" thickBot="1" x14ac:dyDescent="0.3">
      <c r="A15" s="558"/>
      <c r="B15" s="560"/>
      <c r="C15" s="560"/>
      <c r="D15" s="560"/>
      <c r="E15" s="560"/>
      <c r="F15" s="560"/>
      <c r="G15" s="560"/>
      <c r="H15" s="560"/>
      <c r="I15" s="560"/>
      <c r="J15" s="560"/>
      <c r="K15" s="565"/>
      <c r="L15" s="565"/>
      <c r="M15" s="131" t="s">
        <v>220</v>
      </c>
      <c r="N15" s="131" t="s">
        <v>51</v>
      </c>
      <c r="O15" s="131">
        <v>3</v>
      </c>
      <c r="P15" s="131">
        <v>3</v>
      </c>
      <c r="Q15" s="132">
        <v>332712.07</v>
      </c>
      <c r="R15" s="129">
        <v>316992.32</v>
      </c>
      <c r="S15" s="6"/>
      <c r="T15" s="6"/>
      <c r="U15" s="566"/>
      <c r="V15" s="566"/>
    </row>
    <row r="16" spans="1:22" ht="15.75" thickBot="1" x14ac:dyDescent="0.3">
      <c r="A16" s="558"/>
      <c r="B16" s="560"/>
      <c r="C16" s="560"/>
      <c r="D16" s="560"/>
      <c r="E16" s="560"/>
      <c r="F16" s="560"/>
      <c r="G16" s="560"/>
      <c r="H16" s="560"/>
      <c r="I16" s="560"/>
      <c r="J16" s="560"/>
      <c r="K16" s="565"/>
      <c r="L16" s="565"/>
      <c r="M16" s="138"/>
      <c r="N16" s="136"/>
      <c r="O16" s="136"/>
      <c r="P16" s="136"/>
      <c r="Q16" s="214">
        <f>SUM(Q11:Q15)</f>
        <v>2124489.0199999996</v>
      </c>
      <c r="R16" s="338">
        <v>1999032.5</v>
      </c>
      <c r="S16" s="137">
        <v>53873.93</v>
      </c>
      <c r="T16" s="137"/>
      <c r="U16" s="568"/>
      <c r="V16" s="497"/>
    </row>
    <row r="17" spans="1:22" ht="75.75" thickBot="1" x14ac:dyDescent="0.3">
      <c r="A17" s="569"/>
      <c r="B17" s="570"/>
      <c r="C17" s="570"/>
      <c r="D17" s="570"/>
      <c r="E17" s="570"/>
      <c r="F17" s="570"/>
      <c r="G17" s="570"/>
      <c r="H17" s="570"/>
      <c r="I17" s="570"/>
      <c r="J17" s="570"/>
      <c r="K17" s="556"/>
      <c r="L17" s="556"/>
      <c r="M17" s="139" t="s">
        <v>222</v>
      </c>
      <c r="N17" s="128" t="s">
        <v>223</v>
      </c>
      <c r="O17" s="128">
        <v>1</v>
      </c>
      <c r="P17" s="128">
        <v>1</v>
      </c>
      <c r="Q17" s="213">
        <v>288800.61</v>
      </c>
      <c r="R17" s="387">
        <v>284359.65000000002</v>
      </c>
      <c r="S17" s="4"/>
      <c r="T17" s="4"/>
      <c r="U17" s="113" t="s">
        <v>224</v>
      </c>
      <c r="V17" s="113" t="s">
        <v>225</v>
      </c>
    </row>
    <row r="18" spans="1:22" ht="75.75" thickBot="1" x14ac:dyDescent="0.3">
      <c r="A18" s="572">
        <v>3</v>
      </c>
      <c r="B18" s="573" t="s">
        <v>226</v>
      </c>
      <c r="C18" s="573">
        <v>10</v>
      </c>
      <c r="D18" s="573"/>
      <c r="E18" s="573" t="s">
        <v>211</v>
      </c>
      <c r="F18" s="573">
        <v>1977</v>
      </c>
      <c r="G18" s="573" t="s">
        <v>212</v>
      </c>
      <c r="H18" s="573">
        <v>12</v>
      </c>
      <c r="I18" s="573">
        <v>3</v>
      </c>
      <c r="J18" s="573">
        <v>143</v>
      </c>
      <c r="K18" s="555">
        <v>8875.2999999999993</v>
      </c>
      <c r="L18" s="555">
        <v>7231.2</v>
      </c>
      <c r="M18" s="128" t="s">
        <v>227</v>
      </c>
      <c r="N18" s="128" t="s">
        <v>228</v>
      </c>
      <c r="O18" s="128">
        <v>886.13</v>
      </c>
      <c r="P18" s="128"/>
      <c r="Q18" s="129">
        <v>801556.62</v>
      </c>
      <c r="R18" s="387">
        <v>791666.24</v>
      </c>
      <c r="S18" s="2"/>
      <c r="T18" s="2"/>
      <c r="U18" s="113" t="s">
        <v>229</v>
      </c>
      <c r="V18" s="113" t="s">
        <v>230</v>
      </c>
    </row>
    <row r="19" spans="1:22" ht="75.75" thickBot="1" x14ac:dyDescent="0.3">
      <c r="A19" s="569"/>
      <c r="B19" s="570"/>
      <c r="C19" s="570"/>
      <c r="D19" s="570"/>
      <c r="E19" s="570"/>
      <c r="F19" s="570"/>
      <c r="G19" s="570"/>
      <c r="H19" s="570"/>
      <c r="I19" s="570"/>
      <c r="J19" s="570"/>
      <c r="K19" s="556"/>
      <c r="L19" s="556"/>
      <c r="M19" s="139" t="s">
        <v>222</v>
      </c>
      <c r="N19" s="128" t="s">
        <v>223</v>
      </c>
      <c r="O19" s="128">
        <v>1</v>
      </c>
      <c r="P19" s="128"/>
      <c r="Q19" s="213">
        <v>288800.61</v>
      </c>
      <c r="R19" s="387">
        <v>284359.65000000002</v>
      </c>
      <c r="S19" s="2"/>
      <c r="T19" s="141">
        <f>Q19-R19</f>
        <v>4440.9599999999627</v>
      </c>
      <c r="U19" s="113" t="s">
        <v>224</v>
      </c>
      <c r="V19" s="113" t="s">
        <v>225</v>
      </c>
    </row>
    <row r="20" spans="1:22" ht="26.25" thickBot="1" x14ac:dyDescent="0.3">
      <c r="A20" s="142">
        <v>4</v>
      </c>
      <c r="B20" s="139" t="s">
        <v>226</v>
      </c>
      <c r="C20" s="143">
        <v>23</v>
      </c>
      <c r="D20" s="143"/>
      <c r="E20" s="143" t="s">
        <v>211</v>
      </c>
      <c r="F20" s="143">
        <v>1998</v>
      </c>
      <c r="G20" s="143" t="s">
        <v>212</v>
      </c>
      <c r="H20" s="143">
        <v>16</v>
      </c>
      <c r="I20" s="143">
        <v>1</v>
      </c>
      <c r="J20" s="143">
        <v>90</v>
      </c>
      <c r="K20" s="144">
        <v>5365.3</v>
      </c>
      <c r="L20" s="144">
        <v>3081</v>
      </c>
      <c r="M20" s="139" t="s">
        <v>231</v>
      </c>
      <c r="N20" s="128" t="s">
        <v>228</v>
      </c>
      <c r="O20" s="128">
        <v>766</v>
      </c>
      <c r="P20" s="128"/>
      <c r="Q20" s="129">
        <v>621784.12</v>
      </c>
      <c r="R20" s="387">
        <v>590779</v>
      </c>
      <c r="S20" s="2"/>
      <c r="T20" s="5"/>
      <c r="U20" s="571" t="s">
        <v>229</v>
      </c>
      <c r="V20" s="571" t="s">
        <v>230</v>
      </c>
    </row>
    <row r="21" spans="1:22" ht="26.25" thickBot="1" x14ac:dyDescent="0.3">
      <c r="A21" s="142">
        <v>5</v>
      </c>
      <c r="B21" s="143" t="s">
        <v>232</v>
      </c>
      <c r="C21" s="143">
        <v>4</v>
      </c>
      <c r="D21" s="143"/>
      <c r="E21" s="143" t="s">
        <v>211</v>
      </c>
      <c r="F21" s="143">
        <v>1967</v>
      </c>
      <c r="G21" s="143" t="s">
        <v>233</v>
      </c>
      <c r="H21" s="143">
        <v>5</v>
      </c>
      <c r="I21" s="143">
        <v>6</v>
      </c>
      <c r="J21" s="143">
        <v>100</v>
      </c>
      <c r="K21" s="144">
        <v>4540.3</v>
      </c>
      <c r="L21" s="144">
        <v>3018.4</v>
      </c>
      <c r="M21" s="139" t="s">
        <v>234</v>
      </c>
      <c r="N21" s="128" t="s">
        <v>235</v>
      </c>
      <c r="O21" s="128">
        <v>1383</v>
      </c>
      <c r="P21" s="128"/>
      <c r="Q21" s="129">
        <v>1108289.01</v>
      </c>
      <c r="R21" s="387">
        <v>1094613.8500000001</v>
      </c>
      <c r="S21" s="2"/>
      <c r="T21" s="2"/>
      <c r="U21" s="497"/>
      <c r="V21" s="497"/>
    </row>
    <row r="22" spans="1:22" ht="26.25" thickBot="1" x14ac:dyDescent="0.3">
      <c r="A22" s="142">
        <v>6</v>
      </c>
      <c r="B22" s="139" t="s">
        <v>226</v>
      </c>
      <c r="C22" s="143">
        <v>9</v>
      </c>
      <c r="D22" s="143"/>
      <c r="E22" s="143" t="s">
        <v>211</v>
      </c>
      <c r="F22" s="143">
        <v>1991</v>
      </c>
      <c r="G22" s="143" t="s">
        <v>212</v>
      </c>
      <c r="H22" s="143">
        <v>16</v>
      </c>
      <c r="I22" s="143">
        <v>1</v>
      </c>
      <c r="J22" s="143">
        <v>135</v>
      </c>
      <c r="K22" s="144">
        <v>6193.4</v>
      </c>
      <c r="L22" s="144">
        <v>3441.8</v>
      </c>
      <c r="M22" s="139" t="s">
        <v>231</v>
      </c>
      <c r="N22" s="128" t="s">
        <v>228</v>
      </c>
      <c r="O22" s="128">
        <v>894</v>
      </c>
      <c r="P22" s="128"/>
      <c r="Q22" s="129">
        <v>695512.55</v>
      </c>
      <c r="R22" s="387">
        <v>686930.65</v>
      </c>
      <c r="S22" s="2"/>
      <c r="T22" s="2"/>
      <c r="U22" s="497"/>
      <c r="V22" s="497"/>
    </row>
    <row r="23" spans="1:22" ht="26.25" thickBot="1" x14ac:dyDescent="0.3">
      <c r="A23" s="142">
        <v>7</v>
      </c>
      <c r="B23" s="143" t="s">
        <v>226</v>
      </c>
      <c r="C23" s="143">
        <v>13</v>
      </c>
      <c r="D23" s="143"/>
      <c r="E23" s="143" t="s">
        <v>211</v>
      </c>
      <c r="F23" s="143">
        <v>1989</v>
      </c>
      <c r="G23" s="143" t="s">
        <v>212</v>
      </c>
      <c r="H23" s="143">
        <v>16</v>
      </c>
      <c r="I23" s="143">
        <v>1</v>
      </c>
      <c r="J23" s="143">
        <v>135</v>
      </c>
      <c r="K23" s="144">
        <v>6213.4</v>
      </c>
      <c r="L23" s="144">
        <v>3421.7</v>
      </c>
      <c r="M23" s="139" t="s">
        <v>231</v>
      </c>
      <c r="N23" s="128" t="s">
        <v>228</v>
      </c>
      <c r="O23" s="128">
        <v>894</v>
      </c>
      <c r="P23" s="128"/>
      <c r="Q23" s="129">
        <v>689074.27</v>
      </c>
      <c r="R23" s="387">
        <v>655228.93999999994</v>
      </c>
      <c r="S23" s="2"/>
      <c r="T23" s="2"/>
      <c r="U23" s="497"/>
      <c r="V23" s="497"/>
    </row>
    <row r="24" spans="1:22" ht="75.75" thickBot="1" x14ac:dyDescent="0.3">
      <c r="A24" s="142">
        <v>8</v>
      </c>
      <c r="B24" s="143" t="s">
        <v>236</v>
      </c>
      <c r="C24" s="143">
        <v>3</v>
      </c>
      <c r="D24" s="143"/>
      <c r="E24" s="143" t="s">
        <v>211</v>
      </c>
      <c r="F24" s="143">
        <v>1964</v>
      </c>
      <c r="G24" s="143" t="s">
        <v>233</v>
      </c>
      <c r="H24" s="143">
        <v>4</v>
      </c>
      <c r="I24" s="143">
        <v>3</v>
      </c>
      <c r="J24" s="143">
        <v>48</v>
      </c>
      <c r="K24" s="144">
        <v>2173.3000000000002</v>
      </c>
      <c r="L24" s="144">
        <v>1916.7</v>
      </c>
      <c r="M24" s="139" t="s">
        <v>222</v>
      </c>
      <c r="N24" s="143" t="s">
        <v>223</v>
      </c>
      <c r="O24" s="145">
        <v>1</v>
      </c>
      <c r="P24" s="145"/>
      <c r="Q24" s="213">
        <v>675950.41</v>
      </c>
      <c r="R24" s="387">
        <v>641245.75</v>
      </c>
      <c r="S24" s="2"/>
      <c r="T24" s="2"/>
      <c r="U24" s="113" t="s">
        <v>224</v>
      </c>
      <c r="V24" s="113" t="s">
        <v>225</v>
      </c>
    </row>
    <row r="25" spans="1:22" ht="36" customHeight="1" thickBot="1" x14ac:dyDescent="0.3">
      <c r="A25" s="142">
        <v>9</v>
      </c>
      <c r="B25" s="143" t="s">
        <v>226</v>
      </c>
      <c r="C25" s="143">
        <v>7</v>
      </c>
      <c r="D25" s="143"/>
      <c r="E25" s="143" t="s">
        <v>211</v>
      </c>
      <c r="F25" s="143">
        <v>2001</v>
      </c>
      <c r="G25" s="143" t="s">
        <v>233</v>
      </c>
      <c r="H25" s="143">
        <v>17</v>
      </c>
      <c r="I25" s="143">
        <v>2</v>
      </c>
      <c r="J25" s="143">
        <v>135</v>
      </c>
      <c r="K25" s="144">
        <v>7776</v>
      </c>
      <c r="L25" s="144">
        <v>7776</v>
      </c>
      <c r="M25" s="139" t="s">
        <v>234</v>
      </c>
      <c r="N25" s="128" t="s">
        <v>228</v>
      </c>
      <c r="O25" s="128">
        <v>933</v>
      </c>
      <c r="P25" s="128"/>
      <c r="Q25" s="129">
        <v>910125.1</v>
      </c>
      <c r="R25" s="387">
        <v>898895.07</v>
      </c>
      <c r="S25" s="2"/>
      <c r="T25" s="2"/>
      <c r="U25" s="571" t="s">
        <v>229</v>
      </c>
      <c r="V25" s="571" t="s">
        <v>230</v>
      </c>
    </row>
    <row r="26" spans="1:22" ht="37.5" customHeight="1" thickBot="1" x14ac:dyDescent="0.3">
      <c r="A26" s="142">
        <v>10</v>
      </c>
      <c r="B26" s="143" t="s">
        <v>237</v>
      </c>
      <c r="C26" s="143">
        <v>13</v>
      </c>
      <c r="D26" s="143"/>
      <c r="E26" s="143" t="s">
        <v>211</v>
      </c>
      <c r="F26" s="143">
        <v>1967</v>
      </c>
      <c r="G26" s="143" t="s">
        <v>233</v>
      </c>
      <c r="H26" s="143">
        <v>9</v>
      </c>
      <c r="I26" s="143">
        <v>1</v>
      </c>
      <c r="J26" s="143">
        <v>72</v>
      </c>
      <c r="K26" s="144">
        <v>3817.2</v>
      </c>
      <c r="L26" s="144">
        <v>3051</v>
      </c>
      <c r="M26" s="139" t="s">
        <v>238</v>
      </c>
      <c r="N26" s="128" t="s">
        <v>228</v>
      </c>
      <c r="O26" s="128">
        <v>532</v>
      </c>
      <c r="P26" s="128"/>
      <c r="Q26" s="129">
        <v>444478.11</v>
      </c>
      <c r="R26" s="388">
        <v>252943.92</v>
      </c>
      <c r="S26" s="2"/>
      <c r="T26" s="2"/>
      <c r="U26" s="571"/>
      <c r="V26" s="571"/>
    </row>
    <row r="27" spans="1:22" ht="39" customHeight="1" thickBot="1" x14ac:dyDescent="0.3">
      <c r="A27" s="559">
        <v>11</v>
      </c>
      <c r="B27" s="559" t="s">
        <v>239</v>
      </c>
      <c r="C27" s="559">
        <v>29</v>
      </c>
      <c r="D27" s="559"/>
      <c r="E27" s="559" t="s">
        <v>240</v>
      </c>
      <c r="F27" s="559">
        <v>1973</v>
      </c>
      <c r="G27" s="559" t="s">
        <v>212</v>
      </c>
      <c r="H27" s="559">
        <v>9</v>
      </c>
      <c r="I27" s="559">
        <v>4</v>
      </c>
      <c r="J27" s="559">
        <v>144</v>
      </c>
      <c r="K27" s="564">
        <v>7113.9</v>
      </c>
      <c r="L27" s="564">
        <v>4730.8</v>
      </c>
      <c r="M27" s="128" t="s">
        <v>219</v>
      </c>
      <c r="N27" s="128" t="s">
        <v>214</v>
      </c>
      <c r="O27" s="128">
        <v>254</v>
      </c>
      <c r="P27" s="128">
        <v>254</v>
      </c>
      <c r="Q27" s="146">
        <v>159839.96</v>
      </c>
      <c r="R27" s="146">
        <v>156201.4</v>
      </c>
      <c r="S27" s="2"/>
      <c r="T27" s="2"/>
      <c r="U27" s="566" t="s">
        <v>215</v>
      </c>
      <c r="V27" s="566" t="s">
        <v>216</v>
      </c>
    </row>
    <row r="28" spans="1:22" ht="39" thickBot="1" x14ac:dyDescent="0.3">
      <c r="A28" s="560"/>
      <c r="B28" s="560"/>
      <c r="C28" s="560"/>
      <c r="D28" s="560"/>
      <c r="E28" s="560"/>
      <c r="F28" s="560"/>
      <c r="G28" s="560"/>
      <c r="H28" s="560"/>
      <c r="I28" s="560"/>
      <c r="J28" s="560"/>
      <c r="K28" s="565"/>
      <c r="L28" s="565"/>
      <c r="M28" s="128" t="s">
        <v>241</v>
      </c>
      <c r="N28" s="128" t="s">
        <v>214</v>
      </c>
      <c r="O28" s="128">
        <v>880</v>
      </c>
      <c r="P28" s="128">
        <v>1606</v>
      </c>
      <c r="Q28" s="146">
        <v>1156486.48</v>
      </c>
      <c r="R28" s="146">
        <v>1130160.45</v>
      </c>
      <c r="S28" s="2"/>
      <c r="T28" s="2"/>
      <c r="U28" s="566"/>
      <c r="V28" s="566"/>
    </row>
    <row r="29" spans="1:22" ht="26.25" thickBot="1" x14ac:dyDescent="0.3">
      <c r="A29" s="560"/>
      <c r="B29" s="560"/>
      <c r="C29" s="560"/>
      <c r="D29" s="560"/>
      <c r="E29" s="560"/>
      <c r="F29" s="560"/>
      <c r="G29" s="560"/>
      <c r="H29" s="560"/>
      <c r="I29" s="560"/>
      <c r="J29" s="560"/>
      <c r="K29" s="565"/>
      <c r="L29" s="565"/>
      <c r="M29" s="128" t="s">
        <v>217</v>
      </c>
      <c r="N29" s="131" t="s">
        <v>214</v>
      </c>
      <c r="O29" s="131">
        <v>244</v>
      </c>
      <c r="P29" s="131">
        <v>275</v>
      </c>
      <c r="Q29" s="146">
        <v>196869.35</v>
      </c>
      <c r="R29" s="146">
        <v>192387.86</v>
      </c>
      <c r="S29" s="2"/>
      <c r="T29" s="2"/>
      <c r="U29" s="566"/>
      <c r="V29" s="566"/>
    </row>
    <row r="30" spans="1:22" ht="26.25" thickBot="1" x14ac:dyDescent="0.3">
      <c r="A30" s="560"/>
      <c r="B30" s="560"/>
      <c r="C30" s="560"/>
      <c r="D30" s="560"/>
      <c r="E30" s="560"/>
      <c r="F30" s="560"/>
      <c r="G30" s="560"/>
      <c r="H30" s="560"/>
      <c r="I30" s="560"/>
      <c r="J30" s="560"/>
      <c r="K30" s="565"/>
      <c r="L30" s="565"/>
      <c r="M30" s="128" t="s">
        <v>221</v>
      </c>
      <c r="N30" s="147" t="s">
        <v>214</v>
      </c>
      <c r="O30" s="147">
        <v>337</v>
      </c>
      <c r="P30" s="147">
        <v>337</v>
      </c>
      <c r="Q30" s="146">
        <v>356362.86</v>
      </c>
      <c r="R30" s="146">
        <v>348250.68</v>
      </c>
      <c r="S30" s="2"/>
      <c r="T30" s="2"/>
      <c r="U30" s="566"/>
      <c r="V30" s="566"/>
    </row>
    <row r="31" spans="1:22" ht="15.75" thickBot="1" x14ac:dyDescent="0.3">
      <c r="A31" s="560"/>
      <c r="B31" s="560"/>
      <c r="C31" s="560"/>
      <c r="D31" s="560"/>
      <c r="E31" s="560"/>
      <c r="F31" s="560"/>
      <c r="G31" s="560"/>
      <c r="H31" s="560"/>
      <c r="I31" s="560"/>
      <c r="J31" s="560"/>
      <c r="K31" s="565"/>
      <c r="L31" s="565"/>
      <c r="M31" s="131" t="s">
        <v>242</v>
      </c>
      <c r="N31" s="147" t="s">
        <v>243</v>
      </c>
      <c r="O31" s="147">
        <v>2</v>
      </c>
      <c r="P31" s="147">
        <v>2</v>
      </c>
      <c r="Q31" s="148">
        <v>267187.15999999997</v>
      </c>
      <c r="R31" s="146">
        <v>261104.97</v>
      </c>
      <c r="S31" s="6"/>
      <c r="T31" s="6"/>
      <c r="U31" s="566"/>
      <c r="V31" s="566"/>
    </row>
    <row r="32" spans="1:22" ht="15.75" thickBot="1" x14ac:dyDescent="0.3">
      <c r="A32" s="134"/>
      <c r="B32" s="134"/>
      <c r="C32" s="134"/>
      <c r="D32" s="134"/>
      <c r="E32" s="134"/>
      <c r="F32" s="134"/>
      <c r="G32" s="134"/>
      <c r="H32" s="134"/>
      <c r="I32" s="134"/>
      <c r="J32" s="134"/>
      <c r="K32" s="135"/>
      <c r="L32" s="135"/>
      <c r="M32" s="136"/>
      <c r="N32" s="136"/>
      <c r="O32" s="136"/>
      <c r="P32" s="136"/>
      <c r="Q32" s="215">
        <f>SUM(Q27:Q31)</f>
        <v>2136745.81</v>
      </c>
      <c r="R32" s="338">
        <v>2088105.36</v>
      </c>
      <c r="S32" s="7"/>
      <c r="T32" s="51"/>
      <c r="U32" s="567"/>
      <c r="V32" s="566"/>
    </row>
    <row r="33" spans="1:23" ht="39" thickBot="1" x14ac:dyDescent="0.3">
      <c r="A33" s="560">
        <v>12</v>
      </c>
      <c r="B33" s="560" t="s">
        <v>239</v>
      </c>
      <c r="C33" s="560">
        <v>30</v>
      </c>
      <c r="D33" s="560"/>
      <c r="E33" s="560" t="s">
        <v>240</v>
      </c>
      <c r="F33" s="560">
        <v>1975</v>
      </c>
      <c r="G33" s="560" t="s">
        <v>212</v>
      </c>
      <c r="H33" s="560">
        <v>9</v>
      </c>
      <c r="I33" s="560">
        <v>4</v>
      </c>
      <c r="J33" s="560">
        <v>144</v>
      </c>
      <c r="K33" s="565">
        <v>7143</v>
      </c>
      <c r="L33" s="565">
        <v>4732</v>
      </c>
      <c r="M33" s="128" t="s">
        <v>219</v>
      </c>
      <c r="N33" s="128" t="s">
        <v>214</v>
      </c>
      <c r="O33" s="128">
        <v>254</v>
      </c>
      <c r="P33" s="128">
        <v>254</v>
      </c>
      <c r="Q33" s="146">
        <v>159839.99</v>
      </c>
      <c r="R33" s="146">
        <v>156201.4</v>
      </c>
      <c r="S33" s="4"/>
      <c r="T33" s="4"/>
      <c r="U33" s="566"/>
      <c r="V33" s="566"/>
    </row>
    <row r="34" spans="1:23" ht="26.25" thickBot="1" x14ac:dyDescent="0.3">
      <c r="A34" s="560"/>
      <c r="B34" s="560"/>
      <c r="C34" s="560"/>
      <c r="D34" s="560"/>
      <c r="E34" s="560"/>
      <c r="F34" s="560"/>
      <c r="G34" s="560"/>
      <c r="H34" s="560"/>
      <c r="I34" s="560"/>
      <c r="J34" s="560"/>
      <c r="K34" s="565"/>
      <c r="L34" s="565"/>
      <c r="M34" s="128" t="s">
        <v>217</v>
      </c>
      <c r="N34" s="128" t="s">
        <v>214</v>
      </c>
      <c r="O34" s="128">
        <v>244</v>
      </c>
      <c r="P34" s="128">
        <v>275</v>
      </c>
      <c r="Q34" s="146">
        <v>196869.37</v>
      </c>
      <c r="R34" s="146">
        <v>156201.4</v>
      </c>
      <c r="S34" s="2"/>
      <c r="T34" s="2"/>
      <c r="U34" s="566"/>
      <c r="V34" s="566"/>
    </row>
    <row r="35" spans="1:23" ht="39" thickBot="1" x14ac:dyDescent="0.3">
      <c r="A35" s="560"/>
      <c r="B35" s="560"/>
      <c r="C35" s="560"/>
      <c r="D35" s="560"/>
      <c r="E35" s="560"/>
      <c r="F35" s="560"/>
      <c r="G35" s="560"/>
      <c r="H35" s="560"/>
      <c r="I35" s="560"/>
      <c r="J35" s="560"/>
      <c r="K35" s="565"/>
      <c r="L35" s="565"/>
      <c r="M35" s="128" t="s">
        <v>241</v>
      </c>
      <c r="N35" s="128" t="s">
        <v>214</v>
      </c>
      <c r="O35" s="128">
        <v>880</v>
      </c>
      <c r="P35" s="128">
        <v>806</v>
      </c>
      <c r="Q35" s="146">
        <v>1156486.49</v>
      </c>
      <c r="R35" s="146">
        <v>905586.51</v>
      </c>
      <c r="S35" s="2"/>
      <c r="T35" s="2"/>
      <c r="U35" s="566"/>
      <c r="V35" s="566"/>
    </row>
    <row r="36" spans="1:23" ht="26.25" thickBot="1" x14ac:dyDescent="0.3">
      <c r="A36" s="560"/>
      <c r="B36" s="560"/>
      <c r="C36" s="560"/>
      <c r="D36" s="560"/>
      <c r="E36" s="560"/>
      <c r="F36" s="560"/>
      <c r="G36" s="560"/>
      <c r="H36" s="560"/>
      <c r="I36" s="560"/>
      <c r="J36" s="560"/>
      <c r="K36" s="565"/>
      <c r="L36" s="565"/>
      <c r="M36" s="128" t="s">
        <v>221</v>
      </c>
      <c r="N36" s="128" t="s">
        <v>214</v>
      </c>
      <c r="O36" s="128">
        <v>337</v>
      </c>
      <c r="P36" s="128">
        <v>337</v>
      </c>
      <c r="Q36" s="146">
        <v>356362.88</v>
      </c>
      <c r="R36" s="146">
        <v>348250.68</v>
      </c>
      <c r="S36" s="2"/>
      <c r="T36" s="2"/>
      <c r="U36" s="566"/>
      <c r="V36" s="566"/>
    </row>
    <row r="37" spans="1:23" ht="15.75" thickBot="1" x14ac:dyDescent="0.3">
      <c r="A37" s="560"/>
      <c r="B37" s="560"/>
      <c r="C37" s="560"/>
      <c r="D37" s="560"/>
      <c r="E37" s="560"/>
      <c r="F37" s="560"/>
      <c r="G37" s="560"/>
      <c r="H37" s="560"/>
      <c r="I37" s="560"/>
      <c r="J37" s="560"/>
      <c r="K37" s="565"/>
      <c r="L37" s="565"/>
      <c r="M37" s="131" t="s">
        <v>242</v>
      </c>
      <c r="N37" s="131" t="s">
        <v>51</v>
      </c>
      <c r="O37" s="131">
        <v>2</v>
      </c>
      <c r="P37" s="131">
        <v>2</v>
      </c>
      <c r="Q37" s="148">
        <v>267187.21000000002</v>
      </c>
      <c r="R37" s="146">
        <v>261104.91</v>
      </c>
      <c r="S37" s="385"/>
      <c r="T37" s="6"/>
      <c r="U37" s="566"/>
      <c r="V37" s="566"/>
      <c r="W37" s="8">
        <f>R33+R34+R35+R36+R37</f>
        <v>1827344.9</v>
      </c>
    </row>
    <row r="38" spans="1:23" ht="15.75" thickBot="1" x14ac:dyDescent="0.3">
      <c r="A38" s="134"/>
      <c r="B38" s="149"/>
      <c r="C38" s="149"/>
      <c r="D38" s="149"/>
      <c r="E38" s="149"/>
      <c r="F38" s="149"/>
      <c r="G38" s="149"/>
      <c r="H38" s="149"/>
      <c r="I38" s="149"/>
      <c r="J38" s="149"/>
      <c r="K38" s="150"/>
      <c r="L38" s="150"/>
      <c r="M38" s="136"/>
      <c r="N38" s="136"/>
      <c r="O38" s="136"/>
      <c r="P38" s="136"/>
      <c r="Q38" s="215">
        <f>SUM(Q33:Q37)</f>
        <v>2136745.94</v>
      </c>
      <c r="R38" s="338">
        <f>1844057.46+S38</f>
        <v>1863531.3599999999</v>
      </c>
      <c r="S38" s="151">
        <v>19473.900000000001</v>
      </c>
      <c r="T38" s="389"/>
      <c r="U38" s="567"/>
      <c r="V38" s="566"/>
      <c r="W38" s="8">
        <f>W37-R38</f>
        <v>-36186.459999999963</v>
      </c>
    </row>
    <row r="39" spans="1:23" ht="15.75" thickBot="1" x14ac:dyDescent="0.3">
      <c r="A39" s="152"/>
      <c r="B39" s="149" t="s">
        <v>210</v>
      </c>
      <c r="C39" s="149">
        <v>8</v>
      </c>
      <c r="D39" s="143"/>
      <c r="E39" s="143"/>
      <c r="F39" s="143"/>
      <c r="G39" s="143"/>
      <c r="H39" s="143"/>
      <c r="I39" s="143"/>
      <c r="J39" s="143"/>
      <c r="K39" s="144"/>
      <c r="L39" s="144"/>
      <c r="M39" s="577" t="s">
        <v>305</v>
      </c>
      <c r="N39" s="128"/>
      <c r="O39" s="128"/>
      <c r="P39" s="128"/>
      <c r="Q39" s="580"/>
      <c r="R39" s="583">
        <v>194565.42</v>
      </c>
      <c r="S39" s="580"/>
      <c r="T39" s="238"/>
      <c r="U39" s="586" t="s">
        <v>610</v>
      </c>
      <c r="V39" s="580" t="s">
        <v>611</v>
      </c>
    </row>
    <row r="40" spans="1:23" ht="15.75" thickBot="1" x14ac:dyDescent="0.3">
      <c r="A40" s="152"/>
      <c r="B40" s="143" t="s">
        <v>210</v>
      </c>
      <c r="C40" s="143">
        <v>14</v>
      </c>
      <c r="D40" s="143"/>
      <c r="E40" s="143"/>
      <c r="F40" s="143"/>
      <c r="G40" s="143"/>
      <c r="H40" s="143"/>
      <c r="I40" s="143"/>
      <c r="J40" s="143"/>
      <c r="K40" s="144"/>
      <c r="L40" s="144"/>
      <c r="M40" s="578"/>
      <c r="N40" s="128"/>
      <c r="O40" s="128"/>
      <c r="P40" s="128"/>
      <c r="Q40" s="581"/>
      <c r="R40" s="584"/>
      <c r="S40" s="581"/>
      <c r="T40" s="238"/>
      <c r="U40" s="587"/>
      <c r="V40" s="581"/>
    </row>
    <row r="41" spans="1:23" ht="15.75" thickBot="1" x14ac:dyDescent="0.3">
      <c r="A41" s="152"/>
      <c r="B41" s="143" t="s">
        <v>239</v>
      </c>
      <c r="C41" s="143">
        <v>29</v>
      </c>
      <c r="D41" s="143"/>
      <c r="E41" s="143"/>
      <c r="F41" s="143"/>
      <c r="G41" s="143"/>
      <c r="H41" s="143"/>
      <c r="I41" s="143"/>
      <c r="J41" s="143"/>
      <c r="K41" s="144"/>
      <c r="L41" s="144"/>
      <c r="M41" s="578"/>
      <c r="N41" s="128"/>
      <c r="O41" s="128"/>
      <c r="P41" s="128"/>
      <c r="Q41" s="581"/>
      <c r="R41" s="584"/>
      <c r="S41" s="581"/>
      <c r="T41" s="238"/>
      <c r="U41" s="587"/>
      <c r="V41" s="581"/>
    </row>
    <row r="42" spans="1:23" ht="15.75" thickBot="1" x14ac:dyDescent="0.3">
      <c r="A42" s="152"/>
      <c r="B42" s="143" t="s">
        <v>239</v>
      </c>
      <c r="C42" s="143">
        <v>30</v>
      </c>
      <c r="D42" s="143"/>
      <c r="E42" s="143"/>
      <c r="F42" s="143"/>
      <c r="G42" s="143"/>
      <c r="H42" s="143"/>
      <c r="I42" s="143"/>
      <c r="J42" s="143"/>
      <c r="K42" s="144"/>
      <c r="L42" s="144"/>
      <c r="M42" s="579"/>
      <c r="N42" s="128"/>
      <c r="O42" s="128"/>
      <c r="P42" s="128"/>
      <c r="Q42" s="582"/>
      <c r="R42" s="585"/>
      <c r="S42" s="582"/>
      <c r="T42" s="238"/>
      <c r="U42" s="588"/>
      <c r="V42" s="582"/>
    </row>
    <row r="43" spans="1:23" ht="65.25" customHeight="1" thickBot="1" x14ac:dyDescent="0.3">
      <c r="A43" s="152">
        <v>13</v>
      </c>
      <c r="B43" s="143" t="s">
        <v>239</v>
      </c>
      <c r="C43" s="143">
        <v>12</v>
      </c>
      <c r="D43" s="143"/>
      <c r="E43" s="143" t="s">
        <v>244</v>
      </c>
      <c r="F43" s="143">
        <v>1971</v>
      </c>
      <c r="G43" s="143" t="s">
        <v>212</v>
      </c>
      <c r="H43" s="143">
        <v>12</v>
      </c>
      <c r="I43" s="143">
        <v>1</v>
      </c>
      <c r="J43" s="143">
        <v>96</v>
      </c>
      <c r="K43" s="144">
        <v>3585</v>
      </c>
      <c r="L43" s="144">
        <v>2074.9</v>
      </c>
      <c r="M43" s="139" t="s">
        <v>234</v>
      </c>
      <c r="N43" s="128" t="s">
        <v>228</v>
      </c>
      <c r="O43" s="128">
        <v>482</v>
      </c>
      <c r="P43" s="128"/>
      <c r="Q43" s="129">
        <v>300747.33</v>
      </c>
      <c r="R43" s="140">
        <v>297036.42</v>
      </c>
      <c r="S43" s="4"/>
      <c r="T43" s="4"/>
      <c r="U43" s="113" t="s">
        <v>229</v>
      </c>
      <c r="V43" s="36" t="s">
        <v>230</v>
      </c>
    </row>
    <row r="44" spans="1:23" ht="51.75" customHeight="1" thickBot="1" x14ac:dyDescent="0.3">
      <c r="A44" s="152">
        <v>14</v>
      </c>
      <c r="B44" s="143" t="s">
        <v>14</v>
      </c>
      <c r="C44" s="143">
        <v>13</v>
      </c>
      <c r="D44" s="143"/>
      <c r="E44" s="143" t="s">
        <v>211</v>
      </c>
      <c r="F44" s="143">
        <v>1977</v>
      </c>
      <c r="G44" s="143" t="s">
        <v>212</v>
      </c>
      <c r="H44" s="143">
        <v>12</v>
      </c>
      <c r="I44" s="143">
        <v>3</v>
      </c>
      <c r="J44" s="143">
        <v>143</v>
      </c>
      <c r="K44" s="144">
        <v>8928.9</v>
      </c>
      <c r="L44" s="144">
        <v>7199</v>
      </c>
      <c r="M44" s="139" t="s">
        <v>222</v>
      </c>
      <c r="N44" s="128" t="s">
        <v>223</v>
      </c>
      <c r="O44" s="128">
        <v>1</v>
      </c>
      <c r="P44" s="128"/>
      <c r="Q44" s="213">
        <v>288800.61</v>
      </c>
      <c r="R44" s="140">
        <v>284359.65000000002</v>
      </c>
      <c r="S44" s="2"/>
      <c r="T44" s="2"/>
      <c r="U44" s="566" t="s">
        <v>224</v>
      </c>
      <c r="V44" s="574" t="s">
        <v>225</v>
      </c>
    </row>
    <row r="45" spans="1:23" ht="51.75" thickBot="1" x14ac:dyDescent="0.3">
      <c r="A45" s="152">
        <v>15</v>
      </c>
      <c r="B45" s="143" t="s">
        <v>245</v>
      </c>
      <c r="C45" s="143">
        <v>18</v>
      </c>
      <c r="D45" s="143"/>
      <c r="E45" s="143" t="s">
        <v>246</v>
      </c>
      <c r="F45" s="143">
        <v>1974</v>
      </c>
      <c r="G45" s="143" t="s">
        <v>212</v>
      </c>
      <c r="H45" s="143">
        <v>12</v>
      </c>
      <c r="I45" s="143">
        <v>3</v>
      </c>
      <c r="J45" s="143">
        <v>143</v>
      </c>
      <c r="K45" s="144">
        <v>8932</v>
      </c>
      <c r="L45" s="144">
        <v>7255</v>
      </c>
      <c r="M45" s="139" t="s">
        <v>222</v>
      </c>
      <c r="N45" s="128" t="s">
        <v>223</v>
      </c>
      <c r="O45" s="128">
        <v>1</v>
      </c>
      <c r="P45" s="128"/>
      <c r="Q45" s="213">
        <v>288800.61</v>
      </c>
      <c r="R45" s="153">
        <f>R44</f>
        <v>284359.65000000002</v>
      </c>
      <c r="S45" s="2"/>
      <c r="T45" s="2"/>
      <c r="U45" s="609"/>
      <c r="V45" s="575"/>
    </row>
    <row r="46" spans="1:23" ht="51.75" thickBot="1" x14ac:dyDescent="0.3">
      <c r="A46" s="559">
        <v>16</v>
      </c>
      <c r="B46" s="559" t="s">
        <v>13</v>
      </c>
      <c r="C46" s="559">
        <v>8</v>
      </c>
      <c r="D46" s="559"/>
      <c r="E46" s="559" t="s">
        <v>211</v>
      </c>
      <c r="F46" s="559">
        <v>1977</v>
      </c>
      <c r="G46" s="559" t="s">
        <v>212</v>
      </c>
      <c r="H46" s="559">
        <v>12</v>
      </c>
      <c r="I46" s="559">
        <v>3</v>
      </c>
      <c r="J46" s="559">
        <v>143</v>
      </c>
      <c r="K46" s="564">
        <v>8840</v>
      </c>
      <c r="L46" s="564">
        <v>7179</v>
      </c>
      <c r="M46" s="139" t="s">
        <v>222</v>
      </c>
      <c r="N46" s="128" t="s">
        <v>223</v>
      </c>
      <c r="O46" s="128">
        <v>1</v>
      </c>
      <c r="P46" s="128"/>
      <c r="Q46" s="213">
        <v>286192.67</v>
      </c>
      <c r="R46" s="153">
        <v>281791.75</v>
      </c>
      <c r="S46" s="2"/>
      <c r="T46" s="2"/>
      <c r="U46" s="609"/>
      <c r="V46" s="576"/>
    </row>
    <row r="47" spans="1:23" ht="75.75" thickBot="1" x14ac:dyDescent="0.3">
      <c r="A47" s="570"/>
      <c r="B47" s="570"/>
      <c r="C47" s="570"/>
      <c r="D47" s="570"/>
      <c r="E47" s="570"/>
      <c r="F47" s="570"/>
      <c r="G47" s="570"/>
      <c r="H47" s="570"/>
      <c r="I47" s="570"/>
      <c r="J47" s="570"/>
      <c r="K47" s="556"/>
      <c r="L47" s="556"/>
      <c r="M47" s="139" t="s">
        <v>234</v>
      </c>
      <c r="N47" s="128" t="s">
        <v>42</v>
      </c>
      <c r="O47" s="128">
        <v>886.13</v>
      </c>
      <c r="P47" s="128"/>
      <c r="Q47" s="129">
        <v>801556.62</v>
      </c>
      <c r="R47" s="140">
        <v>791666.24</v>
      </c>
      <c r="S47" s="2"/>
      <c r="T47" s="2"/>
      <c r="U47" s="113" t="s">
        <v>229</v>
      </c>
      <c r="V47" s="113" t="s">
        <v>230</v>
      </c>
    </row>
    <row r="48" spans="1:23" ht="75.75" thickBot="1" x14ac:dyDescent="0.3">
      <c r="A48" s="152">
        <v>17</v>
      </c>
      <c r="B48" s="143" t="s">
        <v>13</v>
      </c>
      <c r="C48" s="143">
        <v>2</v>
      </c>
      <c r="D48" s="143"/>
      <c r="E48" s="143" t="s">
        <v>211</v>
      </c>
      <c r="F48" s="143">
        <v>1978</v>
      </c>
      <c r="G48" s="143" t="s">
        <v>212</v>
      </c>
      <c r="H48" s="143">
        <v>12</v>
      </c>
      <c r="I48" s="143">
        <v>3</v>
      </c>
      <c r="J48" s="143">
        <v>143</v>
      </c>
      <c r="K48" s="144">
        <v>8837.1</v>
      </c>
      <c r="L48" s="144">
        <v>7202</v>
      </c>
      <c r="M48" s="139" t="s">
        <v>222</v>
      </c>
      <c r="N48" s="128" t="s">
        <v>223</v>
      </c>
      <c r="O48" s="128">
        <v>1</v>
      </c>
      <c r="P48" s="128"/>
      <c r="Q48" s="213">
        <v>288800.61</v>
      </c>
      <c r="R48" s="140">
        <v>284359.65000000002</v>
      </c>
      <c r="S48" s="2"/>
      <c r="T48" s="2"/>
      <c r="U48" s="113" t="s">
        <v>224</v>
      </c>
      <c r="V48" s="113" t="s">
        <v>225</v>
      </c>
    </row>
    <row r="49" spans="1:24" ht="51.75" thickBot="1" x14ac:dyDescent="0.3">
      <c r="A49" s="152">
        <v>18</v>
      </c>
      <c r="B49" s="143" t="s">
        <v>247</v>
      </c>
      <c r="C49" s="143">
        <v>1</v>
      </c>
      <c r="D49" s="143"/>
      <c r="E49" s="143" t="s">
        <v>211</v>
      </c>
      <c r="F49" s="143">
        <v>1965</v>
      </c>
      <c r="G49" s="143" t="s">
        <v>233</v>
      </c>
      <c r="H49" s="143">
        <v>4</v>
      </c>
      <c r="I49" s="143">
        <v>3</v>
      </c>
      <c r="J49" s="143">
        <v>48</v>
      </c>
      <c r="K49" s="144">
        <v>2191.4</v>
      </c>
      <c r="L49" s="144">
        <v>2191</v>
      </c>
      <c r="M49" s="139" t="s">
        <v>248</v>
      </c>
      <c r="N49" s="128" t="s">
        <v>42</v>
      </c>
      <c r="O49" s="128">
        <v>954</v>
      </c>
      <c r="P49" s="128"/>
      <c r="Q49" s="129">
        <v>1135444.8799999999</v>
      </c>
      <c r="R49" s="140">
        <v>1072305.77</v>
      </c>
      <c r="S49" s="2"/>
      <c r="T49" s="2"/>
      <c r="U49" s="566" t="s">
        <v>229</v>
      </c>
      <c r="V49" s="566" t="s">
        <v>230</v>
      </c>
    </row>
    <row r="50" spans="1:24" ht="25.5" x14ac:dyDescent="0.25">
      <c r="A50" s="154">
        <v>19</v>
      </c>
      <c r="B50" s="155" t="s">
        <v>16</v>
      </c>
      <c r="C50" s="155" t="s">
        <v>17</v>
      </c>
      <c r="D50" s="155"/>
      <c r="E50" s="155" t="s">
        <v>246</v>
      </c>
      <c r="F50" s="155">
        <v>1964</v>
      </c>
      <c r="G50" s="155" t="s">
        <v>212</v>
      </c>
      <c r="H50" s="155">
        <v>5</v>
      </c>
      <c r="I50" s="155">
        <v>3</v>
      </c>
      <c r="J50" s="155">
        <v>60</v>
      </c>
      <c r="K50" s="156">
        <v>2663.1</v>
      </c>
      <c r="L50" s="156">
        <v>1762</v>
      </c>
      <c r="M50" s="131" t="s">
        <v>249</v>
      </c>
      <c r="N50" s="131" t="s">
        <v>250</v>
      </c>
      <c r="O50" s="131">
        <v>851</v>
      </c>
      <c r="P50" s="131"/>
      <c r="Q50" s="132">
        <v>595831.57999999996</v>
      </c>
      <c r="R50" s="157">
        <v>588479.64</v>
      </c>
      <c r="S50" s="6"/>
      <c r="T50" s="6"/>
      <c r="U50" s="574"/>
      <c r="V50" s="574"/>
    </row>
    <row r="51" spans="1:24" ht="45" x14ac:dyDescent="0.25">
      <c r="A51" s="232">
        <v>20</v>
      </c>
      <c r="B51" s="232"/>
      <c r="C51" s="232"/>
      <c r="D51" s="232"/>
      <c r="E51" s="232"/>
      <c r="F51" s="232"/>
      <c r="G51" s="232"/>
      <c r="H51" s="232"/>
      <c r="I51" s="232"/>
      <c r="J51" s="232"/>
      <c r="K51" s="233"/>
      <c r="L51" s="233"/>
      <c r="M51" s="234" t="s">
        <v>302</v>
      </c>
      <c r="N51" s="235"/>
      <c r="O51" s="235"/>
      <c r="P51" s="235"/>
      <c r="Q51" s="141"/>
      <c r="R51" s="247">
        <v>100000</v>
      </c>
      <c r="S51" s="2"/>
      <c r="T51" s="2"/>
      <c r="U51" s="130" t="s">
        <v>399</v>
      </c>
      <c r="V51" s="236" t="s">
        <v>398</v>
      </c>
    </row>
    <row r="52" spans="1:24" ht="25.5" x14ac:dyDescent="0.25">
      <c r="A52" s="232">
        <v>22</v>
      </c>
      <c r="B52" s="232"/>
      <c r="C52" s="232"/>
      <c r="D52" s="232"/>
      <c r="E52" s="232"/>
      <c r="F52" s="232"/>
      <c r="G52" s="232"/>
      <c r="H52" s="232"/>
      <c r="I52" s="232"/>
      <c r="J52" s="232"/>
      <c r="K52" s="233"/>
      <c r="L52" s="233"/>
      <c r="M52" s="235" t="s">
        <v>301</v>
      </c>
      <c r="N52" s="235"/>
      <c r="O52" s="235"/>
      <c r="P52" s="235"/>
      <c r="Q52" s="247">
        <v>37000</v>
      </c>
      <c r="R52" s="247">
        <f>Q52</f>
        <v>37000</v>
      </c>
      <c r="S52" s="2"/>
      <c r="T52" s="2"/>
      <c r="U52" s="130"/>
      <c r="V52" s="236"/>
    </row>
    <row r="53" spans="1:24" thickBot="1" x14ac:dyDescent="0.35">
      <c r="A53" s="224"/>
      <c r="B53" s="225"/>
      <c r="C53" s="225"/>
      <c r="D53" s="225"/>
      <c r="E53" s="225"/>
      <c r="F53" s="225"/>
      <c r="G53" s="225"/>
      <c r="H53" s="225"/>
      <c r="I53" s="225"/>
      <c r="J53" s="225"/>
      <c r="K53" s="225"/>
      <c r="L53" s="225"/>
      <c r="M53" s="226"/>
      <c r="N53" s="225"/>
      <c r="O53" s="225"/>
      <c r="P53" s="227"/>
      <c r="Q53" s="244">
        <v>19057665.59</v>
      </c>
      <c r="R53" s="228">
        <f>R10+R16+R17+R18+R19+R20+R21+R22+R23+R24+R25+R26+R32+R38+R39+R43+R44+R45+R46+R47+R48+R49+R50+R51+R52</f>
        <v>18370684.585511003</v>
      </c>
      <c r="S53" s="229">
        <f>S38+S10</f>
        <v>24671.940000000002</v>
      </c>
      <c r="T53" s="230"/>
      <c r="U53" s="230"/>
      <c r="V53" s="231"/>
      <c r="W53" s="8">
        <f>R53+S81</f>
        <v>27113117.555511005</v>
      </c>
    </row>
    <row r="54" spans="1:24" x14ac:dyDescent="0.25">
      <c r="A54" s="159"/>
      <c r="B54" s="159"/>
      <c r="C54" s="159"/>
      <c r="D54" s="159"/>
      <c r="E54" s="159"/>
      <c r="F54" s="159"/>
      <c r="G54" s="159"/>
      <c r="H54" s="159"/>
      <c r="I54" s="159"/>
      <c r="J54" s="159"/>
      <c r="K54" s="159"/>
      <c r="L54" s="159"/>
      <c r="M54" s="160"/>
      <c r="N54" s="159"/>
      <c r="O54" s="159"/>
      <c r="P54" s="161"/>
      <c r="Q54" s="162" t="s">
        <v>251</v>
      </c>
      <c r="R54" s="163">
        <f>R18+R20+R21+R22+R23+R25+R26+R43+R47+R49+R50</f>
        <v>7720545.7399999993</v>
      </c>
      <c r="S54" s="164"/>
    </row>
    <row r="55" spans="1:24" x14ac:dyDescent="0.25">
      <c r="A55" s="159"/>
      <c r="B55" s="159"/>
      <c r="C55" s="159"/>
      <c r="D55" s="159"/>
      <c r="E55" s="159"/>
      <c r="F55" s="159"/>
      <c r="G55" s="159"/>
      <c r="H55" s="159"/>
      <c r="I55" s="159"/>
      <c r="J55" s="159"/>
      <c r="K55" s="159"/>
      <c r="L55" s="159"/>
      <c r="M55" s="160"/>
      <c r="N55" s="159"/>
      <c r="O55" s="159"/>
      <c r="P55" s="161"/>
      <c r="Q55" s="162" t="s">
        <v>252</v>
      </c>
      <c r="R55" s="163">
        <f>R10+R16+R32+R38</f>
        <v>7973737.6755110007</v>
      </c>
      <c r="S55" s="164"/>
    </row>
    <row r="56" spans="1:24" x14ac:dyDescent="0.25">
      <c r="A56" s="159"/>
      <c r="B56" s="159"/>
      <c r="C56" s="159"/>
      <c r="D56" s="159"/>
      <c r="E56" s="159"/>
      <c r="F56" s="159"/>
      <c r="G56" s="159"/>
      <c r="H56" s="159"/>
      <c r="I56" s="159"/>
      <c r="J56" s="159"/>
      <c r="K56" s="159"/>
      <c r="L56" s="159"/>
      <c r="M56" s="160"/>
      <c r="N56" s="159"/>
      <c r="O56" s="159"/>
      <c r="P56" s="161"/>
      <c r="Q56" s="162" t="s">
        <v>253</v>
      </c>
      <c r="R56" s="163">
        <f>R17+R19+R24+R44+R45+R46+R48</f>
        <v>2344835.75</v>
      </c>
      <c r="S56" s="164"/>
    </row>
    <row r="57" spans="1:24" x14ac:dyDescent="0.25">
      <c r="A57" s="162"/>
      <c r="B57" s="162"/>
      <c r="C57" s="162"/>
      <c r="D57" s="162"/>
      <c r="E57" s="162"/>
      <c r="F57" s="162"/>
      <c r="G57" s="162"/>
      <c r="H57" s="162"/>
      <c r="I57" s="162"/>
      <c r="J57" s="162"/>
      <c r="K57" s="162"/>
      <c r="L57" s="162"/>
      <c r="M57" s="162"/>
      <c r="N57" s="162"/>
      <c r="O57" s="162"/>
      <c r="P57" s="162"/>
      <c r="Q57" s="162" t="s">
        <v>312</v>
      </c>
      <c r="R57" s="163">
        <f>R51+R52+R39</f>
        <v>331565.42000000004</v>
      </c>
      <c r="S57" s="163"/>
    </row>
    <row r="58" spans="1:24" ht="31.5" customHeight="1" thickBot="1" x14ac:dyDescent="0.3">
      <c r="A58" s="548" t="s">
        <v>254</v>
      </c>
      <c r="B58" s="548"/>
      <c r="C58" s="548"/>
      <c r="D58" s="548"/>
      <c r="E58" s="548"/>
      <c r="F58" s="548"/>
      <c r="G58" s="548"/>
      <c r="H58" s="548"/>
      <c r="I58" s="548"/>
      <c r="J58" s="548"/>
      <c r="K58" s="548"/>
      <c r="L58" s="548"/>
      <c r="M58" s="548"/>
      <c r="N58" s="548"/>
      <c r="O58" s="548"/>
      <c r="P58" s="548"/>
      <c r="Q58" s="548"/>
      <c r="R58" s="548"/>
      <c r="S58" s="548"/>
    </row>
    <row r="59" spans="1:24" ht="51" customHeight="1" thickBot="1" x14ac:dyDescent="0.3">
      <c r="A59" s="589" t="s">
        <v>24</v>
      </c>
      <c r="B59" s="589" t="s">
        <v>25</v>
      </c>
      <c r="C59" s="589" t="s">
        <v>11</v>
      </c>
      <c r="D59" s="589" t="s">
        <v>125</v>
      </c>
      <c r="E59" s="589" t="s">
        <v>196</v>
      </c>
      <c r="F59" s="589" t="s">
        <v>197</v>
      </c>
      <c r="G59" s="589" t="s">
        <v>255</v>
      </c>
      <c r="H59" s="589" t="s">
        <v>199</v>
      </c>
      <c r="I59" s="589" t="s">
        <v>200</v>
      </c>
      <c r="J59" s="589" t="s">
        <v>201</v>
      </c>
      <c r="K59" s="589" t="s">
        <v>202</v>
      </c>
      <c r="L59" s="589" t="s">
        <v>203</v>
      </c>
      <c r="M59" s="589" t="s">
        <v>204</v>
      </c>
      <c r="N59" s="614" t="s">
        <v>205</v>
      </c>
      <c r="O59" s="617"/>
      <c r="P59" s="618"/>
      <c r="Q59" s="589" t="s">
        <v>256</v>
      </c>
      <c r="R59" s="614" t="s">
        <v>257</v>
      </c>
      <c r="S59" s="615"/>
      <c r="T59" s="551" t="s">
        <v>258</v>
      </c>
      <c r="U59" s="553" t="s">
        <v>207</v>
      </c>
      <c r="V59" s="553" t="s">
        <v>36</v>
      </c>
      <c r="W59" s="553" t="s">
        <v>37</v>
      </c>
      <c r="X59" s="553" t="s">
        <v>38</v>
      </c>
    </row>
    <row r="60" spans="1:24" ht="33.75" thickBot="1" x14ac:dyDescent="0.3">
      <c r="A60" s="590"/>
      <c r="B60" s="590"/>
      <c r="C60" s="590"/>
      <c r="D60" s="600"/>
      <c r="E60" s="590"/>
      <c r="F60" s="590"/>
      <c r="G60" s="600"/>
      <c r="H60" s="590"/>
      <c r="I60" s="590"/>
      <c r="J60" s="590"/>
      <c r="K60" s="590"/>
      <c r="L60" s="590"/>
      <c r="M60" s="590"/>
      <c r="N60" s="165" t="s">
        <v>208</v>
      </c>
      <c r="O60" s="165" t="s">
        <v>259</v>
      </c>
      <c r="P60" s="166" t="s">
        <v>260</v>
      </c>
      <c r="Q60" s="590"/>
      <c r="R60" s="22" t="s">
        <v>261</v>
      </c>
      <c r="S60" s="167" t="s">
        <v>262</v>
      </c>
      <c r="T60" s="616"/>
      <c r="U60" s="554"/>
      <c r="V60" s="554"/>
      <c r="W60" s="554"/>
      <c r="X60" s="554"/>
    </row>
    <row r="61" spans="1:24" thickBot="1" x14ac:dyDescent="0.35">
      <c r="A61" s="21">
        <v>1</v>
      </c>
      <c r="B61" s="22">
        <v>2</v>
      </c>
      <c r="C61" s="22">
        <v>3</v>
      </c>
      <c r="D61" s="22">
        <v>4</v>
      </c>
      <c r="E61" s="22">
        <v>5</v>
      </c>
      <c r="F61" s="22">
        <v>6</v>
      </c>
      <c r="G61" s="22">
        <v>7</v>
      </c>
      <c r="H61" s="22">
        <v>8</v>
      </c>
      <c r="I61" s="22">
        <v>9</v>
      </c>
      <c r="J61" s="22">
        <v>10</v>
      </c>
      <c r="K61" s="22">
        <v>11</v>
      </c>
      <c r="L61" s="22">
        <v>12</v>
      </c>
      <c r="M61" s="22">
        <v>13</v>
      </c>
      <c r="N61" s="22">
        <v>14</v>
      </c>
      <c r="O61" s="22">
        <v>15</v>
      </c>
      <c r="P61" s="22">
        <v>16</v>
      </c>
      <c r="Q61" s="22">
        <v>17</v>
      </c>
      <c r="R61" s="22">
        <v>18</v>
      </c>
      <c r="S61" s="17">
        <v>19</v>
      </c>
      <c r="T61" s="18">
        <v>20</v>
      </c>
      <c r="U61" s="168">
        <v>21</v>
      </c>
      <c r="V61" s="168">
        <v>22</v>
      </c>
      <c r="W61" s="168">
        <v>23</v>
      </c>
      <c r="X61" s="168">
        <v>24</v>
      </c>
    </row>
    <row r="62" spans="1:24" ht="34.5" thickBot="1" x14ac:dyDescent="0.3">
      <c r="A62" s="114" t="s">
        <v>150</v>
      </c>
      <c r="B62" s="26" t="s">
        <v>263</v>
      </c>
      <c r="C62" s="26">
        <v>2</v>
      </c>
      <c r="D62" s="26"/>
      <c r="E62" s="26" t="s">
        <v>246</v>
      </c>
      <c r="F62" s="26">
        <v>1998</v>
      </c>
      <c r="G62" s="26" t="s">
        <v>233</v>
      </c>
      <c r="H62" s="26">
        <v>5</v>
      </c>
      <c r="I62" s="26">
        <v>4</v>
      </c>
      <c r="J62" s="26">
        <v>60</v>
      </c>
      <c r="K62" s="27">
        <v>2997</v>
      </c>
      <c r="L62" s="27">
        <v>2997</v>
      </c>
      <c r="M62" s="71" t="s">
        <v>264</v>
      </c>
      <c r="N62" s="71"/>
      <c r="O62" s="71"/>
      <c r="P62" s="169"/>
      <c r="Q62" s="169">
        <v>99280</v>
      </c>
      <c r="R62" s="169">
        <v>99280</v>
      </c>
      <c r="S62" s="71">
        <v>0</v>
      </c>
      <c r="T62" s="170">
        <v>106800</v>
      </c>
      <c r="U62" s="2"/>
      <c r="V62" s="2"/>
      <c r="W62" s="591" t="s">
        <v>265</v>
      </c>
      <c r="X62" s="171" t="s">
        <v>266</v>
      </c>
    </row>
    <row r="63" spans="1:24" ht="34.5" thickBot="1" x14ac:dyDescent="0.3">
      <c r="A63" s="52" t="s">
        <v>150</v>
      </c>
      <c r="B63" s="58" t="s">
        <v>267</v>
      </c>
      <c r="C63" s="58" t="s">
        <v>268</v>
      </c>
      <c r="D63" s="58"/>
      <c r="E63" s="58" t="s">
        <v>246</v>
      </c>
      <c r="F63" s="58">
        <v>1965</v>
      </c>
      <c r="G63" s="58" t="s">
        <v>233</v>
      </c>
      <c r="H63" s="58">
        <v>2</v>
      </c>
      <c r="I63" s="58">
        <v>2</v>
      </c>
      <c r="J63" s="58">
        <v>16</v>
      </c>
      <c r="K63" s="58">
        <v>680</v>
      </c>
      <c r="L63" s="58">
        <v>680</v>
      </c>
      <c r="M63" s="71" t="s">
        <v>269</v>
      </c>
      <c r="N63" s="71"/>
      <c r="O63" s="71"/>
      <c r="P63" s="169"/>
      <c r="Q63" s="169">
        <v>120000</v>
      </c>
      <c r="R63" s="169">
        <v>120000</v>
      </c>
      <c r="S63" s="71">
        <v>0</v>
      </c>
      <c r="T63" s="170">
        <v>88359.2</v>
      </c>
      <c r="U63" s="2"/>
      <c r="V63" s="2"/>
      <c r="W63" s="610"/>
      <c r="X63" s="171" t="s">
        <v>270</v>
      </c>
    </row>
    <row r="64" spans="1:24" ht="34.5" thickBot="1" x14ac:dyDescent="0.3">
      <c r="A64" s="172" t="s">
        <v>150</v>
      </c>
      <c r="B64" s="173" t="s">
        <v>133</v>
      </c>
      <c r="C64" s="173">
        <v>6</v>
      </c>
      <c r="D64" s="173"/>
      <c r="E64" s="173" t="s">
        <v>211</v>
      </c>
      <c r="F64" s="173">
        <v>1963</v>
      </c>
      <c r="G64" s="173" t="s">
        <v>233</v>
      </c>
      <c r="H64" s="173">
        <v>4</v>
      </c>
      <c r="I64" s="173">
        <v>3</v>
      </c>
      <c r="J64" s="173">
        <v>48</v>
      </c>
      <c r="K64" s="174">
        <v>2192</v>
      </c>
      <c r="L64" s="174">
        <v>2192</v>
      </c>
      <c r="M64" s="71" t="s">
        <v>271</v>
      </c>
      <c r="N64" s="71"/>
      <c r="O64" s="71"/>
      <c r="P64" s="169"/>
      <c r="Q64" s="169">
        <v>81046</v>
      </c>
      <c r="R64" s="169">
        <v>81046</v>
      </c>
      <c r="S64" s="71">
        <v>0</v>
      </c>
      <c r="T64" s="619">
        <v>220000</v>
      </c>
      <c r="U64" s="2"/>
      <c r="V64" s="2"/>
      <c r="W64" s="591" t="s">
        <v>272</v>
      </c>
      <c r="X64" s="611" t="s">
        <v>273</v>
      </c>
    </row>
    <row r="65" spans="1:24" ht="34.5" thickBot="1" x14ac:dyDescent="0.3">
      <c r="A65" s="172" t="s">
        <v>150</v>
      </c>
      <c r="B65" s="173" t="s">
        <v>133</v>
      </c>
      <c r="C65" s="173">
        <v>8</v>
      </c>
      <c r="D65" s="173"/>
      <c r="E65" s="173" t="s">
        <v>211</v>
      </c>
      <c r="F65" s="173">
        <v>1963</v>
      </c>
      <c r="G65" s="173" t="s">
        <v>233</v>
      </c>
      <c r="H65" s="173">
        <v>4</v>
      </c>
      <c r="I65" s="173">
        <v>3</v>
      </c>
      <c r="J65" s="173">
        <v>48</v>
      </c>
      <c r="K65" s="174">
        <v>2014</v>
      </c>
      <c r="L65" s="174">
        <v>2014</v>
      </c>
      <c r="M65" s="71" t="s">
        <v>271</v>
      </c>
      <c r="N65" s="71"/>
      <c r="O65" s="71"/>
      <c r="P65" s="169"/>
      <c r="Q65" s="169">
        <v>81046</v>
      </c>
      <c r="R65" s="169">
        <v>81046</v>
      </c>
      <c r="S65" s="71">
        <v>0</v>
      </c>
      <c r="T65" s="620"/>
      <c r="U65" s="2"/>
      <c r="V65" s="2"/>
      <c r="W65" s="592"/>
      <c r="X65" s="612"/>
    </row>
    <row r="66" spans="1:24" ht="34.5" thickBot="1" x14ac:dyDescent="0.3">
      <c r="A66" s="172" t="s">
        <v>150</v>
      </c>
      <c r="B66" s="173" t="s">
        <v>133</v>
      </c>
      <c r="C66" s="173">
        <v>1</v>
      </c>
      <c r="D66" s="173"/>
      <c r="E66" s="173" t="s">
        <v>211</v>
      </c>
      <c r="F66" s="173">
        <v>1963</v>
      </c>
      <c r="G66" s="173" t="s">
        <v>233</v>
      </c>
      <c r="H66" s="173">
        <v>4</v>
      </c>
      <c r="I66" s="173">
        <v>3</v>
      </c>
      <c r="J66" s="173">
        <v>48</v>
      </c>
      <c r="K66" s="174">
        <v>2139</v>
      </c>
      <c r="L66" s="174">
        <v>2139</v>
      </c>
      <c r="M66" s="71" t="s">
        <v>271</v>
      </c>
      <c r="N66" s="71"/>
      <c r="O66" s="71"/>
      <c r="P66" s="169"/>
      <c r="Q66" s="169">
        <v>81046</v>
      </c>
      <c r="R66" s="169">
        <v>81046</v>
      </c>
      <c r="S66" s="71">
        <v>0</v>
      </c>
      <c r="T66" s="620"/>
      <c r="U66" s="2"/>
      <c r="V66" s="2"/>
      <c r="W66" s="592"/>
      <c r="X66" s="612"/>
    </row>
    <row r="67" spans="1:24" ht="34.5" thickBot="1" x14ac:dyDescent="0.3">
      <c r="A67" s="172" t="s">
        <v>150</v>
      </c>
      <c r="B67" s="173" t="s">
        <v>274</v>
      </c>
      <c r="C67" s="173">
        <v>1</v>
      </c>
      <c r="D67" s="173"/>
      <c r="E67" s="173" t="s">
        <v>211</v>
      </c>
      <c r="F67" s="173">
        <v>1949</v>
      </c>
      <c r="G67" s="173" t="s">
        <v>275</v>
      </c>
      <c r="H67" s="173">
        <v>2</v>
      </c>
      <c r="I67" s="173">
        <v>1</v>
      </c>
      <c r="J67" s="173">
        <v>8</v>
      </c>
      <c r="K67" s="173">
        <v>529</v>
      </c>
      <c r="L67" s="173">
        <v>529</v>
      </c>
      <c r="M67" s="71" t="s">
        <v>271</v>
      </c>
      <c r="N67" s="71"/>
      <c r="O67" s="71"/>
      <c r="P67" s="169"/>
      <c r="Q67" s="169">
        <v>60000</v>
      </c>
      <c r="R67" s="169">
        <v>60000</v>
      </c>
      <c r="S67" s="71">
        <v>0</v>
      </c>
      <c r="T67" s="620"/>
      <c r="U67" s="2"/>
      <c r="V67" s="2"/>
      <c r="W67" s="592"/>
      <c r="X67" s="612"/>
    </row>
    <row r="68" spans="1:24" ht="34.5" thickBot="1" x14ac:dyDescent="0.3">
      <c r="A68" s="172" t="s">
        <v>150</v>
      </c>
      <c r="B68" s="173" t="s">
        <v>274</v>
      </c>
      <c r="C68" s="173" t="s">
        <v>134</v>
      </c>
      <c r="D68" s="173"/>
      <c r="E68" s="173" t="s">
        <v>211</v>
      </c>
      <c r="F68" s="173">
        <v>1964</v>
      </c>
      <c r="G68" s="173" t="s">
        <v>233</v>
      </c>
      <c r="H68" s="173">
        <v>4</v>
      </c>
      <c r="I68" s="173">
        <v>3</v>
      </c>
      <c r="J68" s="173">
        <v>48</v>
      </c>
      <c r="K68" s="174">
        <v>2168</v>
      </c>
      <c r="L68" s="174">
        <v>2168</v>
      </c>
      <c r="M68" s="175" t="s">
        <v>271</v>
      </c>
      <c r="N68" s="175"/>
      <c r="O68" s="175"/>
      <c r="P68" s="176"/>
      <c r="Q68" s="176">
        <v>81046</v>
      </c>
      <c r="R68" s="176">
        <v>81046</v>
      </c>
      <c r="S68" s="175">
        <v>0</v>
      </c>
      <c r="T68" s="599"/>
      <c r="U68" s="6"/>
      <c r="V68" s="6"/>
      <c r="W68" s="592"/>
      <c r="X68" s="612"/>
    </row>
    <row r="69" spans="1:24" ht="15.75" thickBot="1" x14ac:dyDescent="0.3">
      <c r="A69" s="54"/>
      <c r="B69" s="177"/>
      <c r="C69" s="177"/>
      <c r="D69" s="177"/>
      <c r="E69" s="177"/>
      <c r="F69" s="177"/>
      <c r="G69" s="177"/>
      <c r="H69" s="177"/>
      <c r="I69" s="177"/>
      <c r="J69" s="177"/>
      <c r="K69" s="178"/>
      <c r="L69" s="178"/>
      <c r="M69" s="179"/>
      <c r="N69" s="179"/>
      <c r="O69" s="179"/>
      <c r="P69" s="180"/>
      <c r="Q69" s="180"/>
      <c r="R69" s="181">
        <f>R64+R65+R66+R67+R68</f>
        <v>384184</v>
      </c>
      <c r="S69" s="18"/>
      <c r="T69" s="182">
        <v>220000</v>
      </c>
      <c r="U69" s="7"/>
      <c r="V69" s="51"/>
      <c r="W69" s="593"/>
      <c r="X69" s="613"/>
    </row>
    <row r="70" spans="1:24" ht="23.25" thickBot="1" x14ac:dyDescent="0.3">
      <c r="A70" s="605" t="s">
        <v>150</v>
      </c>
      <c r="B70" s="605" t="s">
        <v>276</v>
      </c>
      <c r="C70" s="605">
        <v>26</v>
      </c>
      <c r="D70" s="605"/>
      <c r="E70" s="605" t="s">
        <v>277</v>
      </c>
      <c r="F70" s="605">
        <v>1970</v>
      </c>
      <c r="G70" s="605" t="s">
        <v>275</v>
      </c>
      <c r="H70" s="605">
        <v>9</v>
      </c>
      <c r="I70" s="605">
        <v>6</v>
      </c>
      <c r="J70" s="605">
        <v>216</v>
      </c>
      <c r="K70" s="500">
        <v>10337</v>
      </c>
      <c r="L70" s="500">
        <v>10337</v>
      </c>
      <c r="M70" s="179" t="s">
        <v>136</v>
      </c>
      <c r="N70" s="71" t="s">
        <v>63</v>
      </c>
      <c r="O70" s="71">
        <v>210</v>
      </c>
      <c r="P70" s="71">
        <v>210</v>
      </c>
      <c r="Q70" s="169">
        <v>304458.78000000003</v>
      </c>
      <c r="R70" s="71">
        <v>0</v>
      </c>
      <c r="S70" s="169">
        <v>304458.78000000003</v>
      </c>
      <c r="T70" s="169">
        <v>293349.3</v>
      </c>
      <c r="U70" s="2"/>
      <c r="V70" s="2"/>
      <c r="W70" s="591" t="s">
        <v>135</v>
      </c>
      <c r="X70" s="611">
        <v>76</v>
      </c>
    </row>
    <row r="71" spans="1:24" ht="23.25" thickBot="1" x14ac:dyDescent="0.3">
      <c r="A71" s="606"/>
      <c r="B71" s="606"/>
      <c r="C71" s="606"/>
      <c r="D71" s="606"/>
      <c r="E71" s="606"/>
      <c r="F71" s="606"/>
      <c r="G71" s="606"/>
      <c r="H71" s="606"/>
      <c r="I71" s="606"/>
      <c r="J71" s="606"/>
      <c r="K71" s="501"/>
      <c r="L71" s="501"/>
      <c r="M71" s="71" t="s">
        <v>137</v>
      </c>
      <c r="N71" s="71" t="s">
        <v>63</v>
      </c>
      <c r="O71" s="71">
        <v>271.60000000000002</v>
      </c>
      <c r="P71" s="71">
        <v>271.60000000000002</v>
      </c>
      <c r="Q71" s="169">
        <v>454170.07</v>
      </c>
      <c r="R71" s="71">
        <v>0</v>
      </c>
      <c r="S71" s="169">
        <v>454170.07</v>
      </c>
      <c r="T71" s="169">
        <v>437597.73</v>
      </c>
      <c r="U71" s="2"/>
      <c r="V71" s="2"/>
      <c r="W71" s="592"/>
      <c r="X71" s="612"/>
    </row>
    <row r="72" spans="1:24" ht="23.25" thickBot="1" x14ac:dyDescent="0.3">
      <c r="A72" s="606"/>
      <c r="B72" s="606"/>
      <c r="C72" s="606"/>
      <c r="D72" s="606"/>
      <c r="E72" s="606"/>
      <c r="F72" s="606"/>
      <c r="G72" s="606"/>
      <c r="H72" s="606"/>
      <c r="I72" s="606"/>
      <c r="J72" s="606"/>
      <c r="K72" s="501"/>
      <c r="L72" s="501"/>
      <c r="M72" s="71" t="s">
        <v>138</v>
      </c>
      <c r="N72" s="71" t="s">
        <v>63</v>
      </c>
      <c r="O72" s="71">
        <v>377.2</v>
      </c>
      <c r="P72" s="71">
        <v>377.2</v>
      </c>
      <c r="Q72" s="169">
        <v>688599.82</v>
      </c>
      <c r="R72" s="71">
        <v>0</v>
      </c>
      <c r="S72" s="169">
        <v>688599.82</v>
      </c>
      <c r="T72" s="169">
        <v>663473.29</v>
      </c>
      <c r="U72" s="2"/>
      <c r="V72" s="2"/>
      <c r="W72" s="592"/>
      <c r="X72" s="612"/>
    </row>
    <row r="73" spans="1:24" ht="34.5" thickBot="1" x14ac:dyDescent="0.3">
      <c r="A73" s="506"/>
      <c r="B73" s="506"/>
      <c r="C73" s="506"/>
      <c r="D73" s="506"/>
      <c r="E73" s="506"/>
      <c r="F73" s="506"/>
      <c r="G73" s="506"/>
      <c r="H73" s="506"/>
      <c r="I73" s="506"/>
      <c r="J73" s="506"/>
      <c r="K73" s="508"/>
      <c r="L73" s="508"/>
      <c r="M73" s="71" t="s">
        <v>139</v>
      </c>
      <c r="N73" s="71" t="s">
        <v>63</v>
      </c>
      <c r="O73" s="169">
        <v>1394.4</v>
      </c>
      <c r="P73" s="169">
        <v>1394.4</v>
      </c>
      <c r="Q73" s="169">
        <v>3202700.43</v>
      </c>
      <c r="R73" s="71">
        <v>0</v>
      </c>
      <c r="S73" s="169">
        <v>3202700.43</v>
      </c>
      <c r="T73" s="169">
        <v>3085836.25</v>
      </c>
      <c r="U73" s="2"/>
      <c r="V73" s="2"/>
      <c r="W73" s="592"/>
      <c r="X73" s="612"/>
    </row>
    <row r="74" spans="1:24" ht="15.75" thickBot="1" x14ac:dyDescent="0.3">
      <c r="A74" s="53" t="s">
        <v>150</v>
      </c>
      <c r="B74" s="58" t="s">
        <v>276</v>
      </c>
      <c r="C74" s="58">
        <v>26</v>
      </c>
      <c r="D74" s="58"/>
      <c r="E74" s="58" t="s">
        <v>277</v>
      </c>
      <c r="F74" s="58">
        <v>1970</v>
      </c>
      <c r="G74" s="58" t="s">
        <v>275</v>
      </c>
      <c r="H74" s="58">
        <v>9</v>
      </c>
      <c r="I74" s="58">
        <v>6</v>
      </c>
      <c r="J74" s="58">
        <v>216</v>
      </c>
      <c r="K74" s="59">
        <v>10337</v>
      </c>
      <c r="L74" s="59">
        <v>10337</v>
      </c>
      <c r="M74" s="175" t="s">
        <v>140</v>
      </c>
      <c r="N74" s="175" t="s">
        <v>243</v>
      </c>
      <c r="O74" s="175">
        <v>3</v>
      </c>
      <c r="P74" s="175">
        <v>3</v>
      </c>
      <c r="Q74" s="176">
        <v>554811.87</v>
      </c>
      <c r="R74" s="175">
        <v>0</v>
      </c>
      <c r="S74" s="176">
        <v>554811.87</v>
      </c>
      <c r="T74" s="169">
        <v>534567.18999999994</v>
      </c>
      <c r="U74" s="6"/>
      <c r="V74" s="6"/>
      <c r="W74" s="592"/>
      <c r="X74" s="612"/>
    </row>
    <row r="75" spans="1:24" ht="15.75" thickBot="1" x14ac:dyDescent="0.3">
      <c r="A75" s="184"/>
      <c r="B75" s="177"/>
      <c r="C75" s="177"/>
      <c r="D75" s="177"/>
      <c r="E75" s="177"/>
      <c r="F75" s="177"/>
      <c r="G75" s="177"/>
      <c r="H75" s="177"/>
      <c r="I75" s="177"/>
      <c r="J75" s="177"/>
      <c r="K75" s="178"/>
      <c r="L75" s="178"/>
      <c r="M75" s="179"/>
      <c r="N75" s="179"/>
      <c r="O75" s="179"/>
      <c r="P75" s="179"/>
      <c r="Q75" s="180">
        <f>SUM(Q70:Q74)</f>
        <v>5204740.97</v>
      </c>
      <c r="R75" s="179"/>
      <c r="S75" s="181">
        <f>SUM(S70:S74)</f>
        <v>5204740.97</v>
      </c>
      <c r="T75" s="386">
        <f>SUM(T70:T74)</f>
        <v>5014823.76</v>
      </c>
      <c r="U75" s="386">
        <v>281689.27</v>
      </c>
      <c r="V75" s="51"/>
      <c r="W75" s="593"/>
      <c r="X75" s="613"/>
    </row>
    <row r="76" spans="1:24" ht="45.75" thickBot="1" x14ac:dyDescent="0.3">
      <c r="A76" s="185"/>
      <c r="B76" s="26"/>
      <c r="C76" s="26"/>
      <c r="D76" s="26"/>
      <c r="E76" s="26"/>
      <c r="F76" s="26"/>
      <c r="G76" s="26"/>
      <c r="H76" s="26"/>
      <c r="I76" s="26"/>
      <c r="J76" s="26"/>
      <c r="K76" s="27"/>
      <c r="L76" s="27"/>
      <c r="M76" s="71" t="s">
        <v>304</v>
      </c>
      <c r="N76" s="71"/>
      <c r="O76" s="71"/>
      <c r="P76" s="71"/>
      <c r="Q76" s="169"/>
      <c r="R76" s="71"/>
      <c r="S76" s="72"/>
      <c r="T76" s="371">
        <v>71860.33</v>
      </c>
      <c r="U76" s="237"/>
      <c r="V76" s="238"/>
      <c r="W76" s="219" t="s">
        <v>399</v>
      </c>
      <c r="X76" s="220" t="s">
        <v>612</v>
      </c>
    </row>
    <row r="77" spans="1:24" ht="30.75" thickBot="1" x14ac:dyDescent="0.3">
      <c r="A77" s="53" t="s">
        <v>150</v>
      </c>
      <c r="B77" s="58" t="s">
        <v>183</v>
      </c>
      <c r="C77" s="58">
        <v>17</v>
      </c>
      <c r="D77" s="58"/>
      <c r="E77" s="58" t="s">
        <v>211</v>
      </c>
      <c r="F77" s="58">
        <v>1993</v>
      </c>
      <c r="G77" s="58" t="s">
        <v>275</v>
      </c>
      <c r="H77" s="58">
        <v>12</v>
      </c>
      <c r="I77" s="58">
        <v>2</v>
      </c>
      <c r="J77" s="58">
        <v>166</v>
      </c>
      <c r="K77" s="59">
        <v>7909</v>
      </c>
      <c r="L77" s="59">
        <v>7909</v>
      </c>
      <c r="M77" s="175" t="s">
        <v>15</v>
      </c>
      <c r="N77" s="71" t="s">
        <v>42</v>
      </c>
      <c r="O77" s="169">
        <v>1231</v>
      </c>
      <c r="P77" s="169"/>
      <c r="Q77" s="216">
        <v>1538750</v>
      </c>
      <c r="R77" s="71">
        <v>0</v>
      </c>
      <c r="S77" s="169">
        <v>1538750</v>
      </c>
      <c r="T77" s="621">
        <v>3360675.37</v>
      </c>
      <c r="U77" s="4"/>
      <c r="V77" s="4"/>
      <c r="W77" s="183" t="s">
        <v>177</v>
      </c>
      <c r="X77" s="171">
        <v>77</v>
      </c>
    </row>
    <row r="78" spans="1:24" ht="30.75" thickBot="1" x14ac:dyDescent="0.3">
      <c r="A78" s="185" t="s">
        <v>150</v>
      </c>
      <c r="B78" s="26" t="s">
        <v>278</v>
      </c>
      <c r="C78" s="26">
        <v>6</v>
      </c>
      <c r="D78" s="26"/>
      <c r="E78" s="26" t="s">
        <v>246</v>
      </c>
      <c r="F78" s="26">
        <v>1996</v>
      </c>
      <c r="G78" s="26" t="s">
        <v>275</v>
      </c>
      <c r="H78" s="26">
        <v>10</v>
      </c>
      <c r="I78" s="26">
        <v>4</v>
      </c>
      <c r="J78" s="26">
        <v>160</v>
      </c>
      <c r="K78" s="27">
        <v>8364</v>
      </c>
      <c r="L78" s="27">
        <v>8364</v>
      </c>
      <c r="M78" s="71" t="s">
        <v>15</v>
      </c>
      <c r="N78" s="71" t="s">
        <v>42</v>
      </c>
      <c r="O78" s="169">
        <v>1465.5</v>
      </c>
      <c r="P78" s="169"/>
      <c r="Q78" s="216">
        <v>1998942</v>
      </c>
      <c r="R78" s="71">
        <v>0</v>
      </c>
      <c r="S78" s="169">
        <v>1998942</v>
      </c>
      <c r="T78" s="622"/>
      <c r="U78" s="4"/>
      <c r="V78" s="4"/>
      <c r="W78" s="183" t="s">
        <v>177</v>
      </c>
      <c r="X78" s="171">
        <v>77</v>
      </c>
    </row>
    <row r="79" spans="1:24" ht="15.75" thickBot="1" x14ac:dyDescent="0.3">
      <c r="A79" s="605"/>
      <c r="B79" s="58" t="s">
        <v>183</v>
      </c>
      <c r="C79" s="58">
        <v>17</v>
      </c>
      <c r="D79" s="26"/>
      <c r="E79" s="26"/>
      <c r="F79" s="26"/>
      <c r="G79" s="26"/>
      <c r="H79" s="26"/>
      <c r="I79" s="26"/>
      <c r="J79" s="26"/>
      <c r="K79" s="27"/>
      <c r="L79" s="27"/>
      <c r="M79" s="608" t="s">
        <v>302</v>
      </c>
      <c r="N79" s="71"/>
      <c r="O79" s="169"/>
      <c r="P79" s="169"/>
      <c r="Q79" s="216"/>
      <c r="R79" s="71"/>
      <c r="S79" s="169"/>
      <c r="T79" s="607">
        <v>48843.88</v>
      </c>
      <c r="U79" s="487"/>
      <c r="V79" s="237"/>
      <c r="W79" s="239"/>
      <c r="X79" s="240"/>
    </row>
    <row r="80" spans="1:24" ht="15.75" thickBot="1" x14ac:dyDescent="0.3">
      <c r="A80" s="623"/>
      <c r="B80" s="26" t="s">
        <v>278</v>
      </c>
      <c r="C80" s="26">
        <v>6</v>
      </c>
      <c r="D80" s="26"/>
      <c r="E80" s="26"/>
      <c r="F80" s="26"/>
      <c r="G80" s="26"/>
      <c r="H80" s="26"/>
      <c r="I80" s="26"/>
      <c r="J80" s="26"/>
      <c r="K80" s="27"/>
      <c r="L80" s="27"/>
      <c r="M80" s="582"/>
      <c r="N80" s="71"/>
      <c r="O80" s="169"/>
      <c r="P80" s="169"/>
      <c r="Q80" s="216"/>
      <c r="R80" s="71"/>
      <c r="S80" s="169"/>
      <c r="T80" s="585"/>
      <c r="U80" s="599"/>
      <c r="V80" s="237"/>
      <c r="W80" s="239"/>
      <c r="X80" s="240"/>
    </row>
    <row r="81" spans="1:24" thickBot="1" x14ac:dyDescent="0.35">
      <c r="A81" s="186"/>
      <c r="B81" s="187"/>
      <c r="C81" s="187"/>
      <c r="D81" s="187"/>
      <c r="E81" s="187"/>
      <c r="F81" s="187"/>
      <c r="G81" s="187"/>
      <c r="H81" s="187"/>
      <c r="I81" s="187"/>
      <c r="J81" s="187"/>
      <c r="K81" s="28">
        <v>49666</v>
      </c>
      <c r="L81" s="187"/>
      <c r="M81" s="188"/>
      <c r="N81" s="187"/>
      <c r="O81" s="187"/>
      <c r="P81" s="28"/>
      <c r="Q81" s="28">
        <v>9345896.9700000007</v>
      </c>
      <c r="R81" s="28">
        <v>603464</v>
      </c>
      <c r="S81" s="28">
        <v>8742432.9700000007</v>
      </c>
      <c r="T81" s="189">
        <f>T62+T63+T69+T75+T76+T77+T79</f>
        <v>8911362.540000001</v>
      </c>
      <c r="U81" s="190"/>
      <c r="V81" s="10"/>
      <c r="W81" s="191"/>
      <c r="X81" s="192"/>
    </row>
    <row r="82" spans="1:24" x14ac:dyDescent="0.25">
      <c r="A82" s="159"/>
      <c r="B82" s="159"/>
      <c r="C82" s="159"/>
      <c r="D82" s="159"/>
      <c r="E82" s="159"/>
      <c r="F82" s="159"/>
      <c r="G82" s="159"/>
      <c r="H82" s="159"/>
      <c r="I82" s="159"/>
      <c r="J82" s="159"/>
      <c r="K82" s="159"/>
      <c r="L82" s="159"/>
      <c r="M82" s="160"/>
      <c r="N82" s="159"/>
      <c r="O82" s="159"/>
      <c r="P82" s="161"/>
      <c r="Q82" s="162"/>
      <c r="R82" s="164"/>
      <c r="S82" s="162" t="s">
        <v>279</v>
      </c>
      <c r="T82" s="176">
        <f>T62+T63+T69</f>
        <v>415159.2</v>
      </c>
      <c r="U82" s="8"/>
    </row>
    <row r="83" spans="1:24" x14ac:dyDescent="0.25">
      <c r="A83" s="159"/>
      <c r="B83" s="159"/>
      <c r="C83" s="159"/>
      <c r="D83" s="159"/>
      <c r="E83" s="159"/>
      <c r="F83" s="159"/>
      <c r="G83" s="159"/>
      <c r="H83" s="159"/>
      <c r="I83" s="159"/>
      <c r="J83" s="159"/>
      <c r="K83" s="159"/>
      <c r="L83" s="159"/>
      <c r="M83" s="160"/>
      <c r="N83" s="159"/>
      <c r="O83" s="159"/>
      <c r="P83" s="161"/>
      <c r="Q83" s="163"/>
      <c r="R83" s="164"/>
      <c r="S83" s="162" t="s">
        <v>251</v>
      </c>
      <c r="T83" s="76">
        <f>T77</f>
        <v>3360675.37</v>
      </c>
    </row>
    <row r="84" spans="1:24" ht="15.75" x14ac:dyDescent="0.25">
      <c r="A84" s="13"/>
      <c r="R84" s="8"/>
      <c r="S84" t="s">
        <v>252</v>
      </c>
      <c r="T84" s="76">
        <f>T75</f>
        <v>5014823.76</v>
      </c>
    </row>
    <row r="85" spans="1:24" ht="15.75" x14ac:dyDescent="0.25">
      <c r="A85" s="13"/>
      <c r="R85" s="8"/>
      <c r="S85" s="162" t="s">
        <v>312</v>
      </c>
      <c r="T85" s="76">
        <f>T76+T79</f>
        <v>120704.20999999999</v>
      </c>
    </row>
    <row r="86" spans="1:24" ht="14.45" x14ac:dyDescent="0.3">
      <c r="Q86" s="403">
        <f>Q53+Q81</f>
        <v>28403562.560000002</v>
      </c>
      <c r="R86" s="163"/>
      <c r="T86" s="403">
        <f>R53+T81</f>
        <v>27282047.125511006</v>
      </c>
      <c r="U86" s="217"/>
    </row>
    <row r="87" spans="1:24" ht="15.75" customHeight="1" x14ac:dyDescent="0.25">
      <c r="A87" s="604" t="s">
        <v>280</v>
      </c>
      <c r="B87" s="604"/>
      <c r="C87" s="604"/>
      <c r="D87" s="604"/>
      <c r="E87" s="604"/>
      <c r="F87" s="604"/>
      <c r="G87" s="604"/>
      <c r="H87" s="604"/>
      <c r="I87" s="604"/>
      <c r="J87" s="604"/>
      <c r="K87" s="604"/>
      <c r="L87" s="604"/>
      <c r="M87" s="604"/>
      <c r="N87" s="604"/>
      <c r="O87" s="604"/>
      <c r="P87" s="604"/>
      <c r="Q87" s="604"/>
      <c r="R87" s="604"/>
      <c r="S87" s="604"/>
      <c r="U87" s="8"/>
    </row>
    <row r="88" spans="1:24" thickBot="1" x14ac:dyDescent="0.35">
      <c r="A88" s="193"/>
      <c r="B88" s="193"/>
      <c r="C88" s="193"/>
      <c r="D88" s="193"/>
      <c r="E88" s="193"/>
      <c r="F88" s="193"/>
      <c r="G88" s="193"/>
      <c r="H88" s="193"/>
      <c r="I88" s="193"/>
      <c r="J88" s="193"/>
      <c r="K88" s="193"/>
      <c r="L88" s="193"/>
      <c r="M88" s="193"/>
      <c r="N88" s="193"/>
      <c r="O88" s="193"/>
      <c r="P88" s="193"/>
      <c r="Q88" s="193"/>
      <c r="R88" s="193"/>
      <c r="S88" s="194"/>
    </row>
    <row r="89" spans="1:24" ht="81.75" customHeight="1" thickBot="1" x14ac:dyDescent="0.3">
      <c r="A89" s="549" t="s">
        <v>195</v>
      </c>
      <c r="B89" s="549" t="s">
        <v>25</v>
      </c>
      <c r="C89" s="549" t="s">
        <v>11</v>
      </c>
      <c r="D89" s="549" t="s">
        <v>125</v>
      </c>
      <c r="E89" s="549" t="s">
        <v>196</v>
      </c>
      <c r="F89" s="549" t="s">
        <v>197</v>
      </c>
      <c r="G89" s="549" t="s">
        <v>198</v>
      </c>
      <c r="H89" s="549" t="s">
        <v>199</v>
      </c>
      <c r="I89" s="549" t="s">
        <v>200</v>
      </c>
      <c r="J89" s="549" t="s">
        <v>201</v>
      </c>
      <c r="K89" s="549" t="s">
        <v>202</v>
      </c>
      <c r="L89" s="549" t="s">
        <v>203</v>
      </c>
      <c r="M89" s="549" t="s">
        <v>204</v>
      </c>
      <c r="N89" s="561" t="s">
        <v>205</v>
      </c>
      <c r="O89" s="562"/>
      <c r="P89" s="563"/>
      <c r="Q89" s="549" t="s">
        <v>206</v>
      </c>
      <c r="R89" s="549" t="s">
        <v>34</v>
      </c>
      <c r="S89" s="553" t="s">
        <v>207</v>
      </c>
      <c r="T89" s="553" t="s">
        <v>36</v>
      </c>
      <c r="U89" s="553" t="s">
        <v>37</v>
      </c>
      <c r="V89" s="553" t="s">
        <v>38</v>
      </c>
    </row>
    <row r="90" spans="1:24" ht="44.25" thickBot="1" x14ac:dyDescent="0.3">
      <c r="A90" s="550"/>
      <c r="B90" s="550"/>
      <c r="C90" s="550"/>
      <c r="D90" s="550"/>
      <c r="E90" s="550"/>
      <c r="F90" s="550"/>
      <c r="G90" s="550"/>
      <c r="H90" s="550"/>
      <c r="I90" s="550"/>
      <c r="J90" s="550"/>
      <c r="K90" s="550"/>
      <c r="L90" s="550"/>
      <c r="M90" s="550"/>
      <c r="N90" s="123" t="s">
        <v>208</v>
      </c>
      <c r="O90" s="123" t="s">
        <v>209</v>
      </c>
      <c r="P90" s="123" t="s">
        <v>31</v>
      </c>
      <c r="Q90" s="550"/>
      <c r="R90" s="550"/>
      <c r="S90" s="554"/>
      <c r="T90" s="554"/>
      <c r="U90" s="554"/>
      <c r="V90" s="554"/>
    </row>
    <row r="91" spans="1:24" thickBot="1" x14ac:dyDescent="0.35">
      <c r="A91" s="124">
        <v>1</v>
      </c>
      <c r="B91" s="125">
        <v>2</v>
      </c>
      <c r="C91" s="125">
        <v>3</v>
      </c>
      <c r="D91" s="125">
        <v>4</v>
      </c>
      <c r="E91" s="125">
        <v>5</v>
      </c>
      <c r="F91" s="125">
        <v>6</v>
      </c>
      <c r="G91" s="125">
        <v>7</v>
      </c>
      <c r="H91" s="125">
        <v>8</v>
      </c>
      <c r="I91" s="125">
        <v>9</v>
      </c>
      <c r="J91" s="125">
        <v>10</v>
      </c>
      <c r="K91" s="125">
        <v>11</v>
      </c>
      <c r="L91" s="125">
        <v>12</v>
      </c>
      <c r="M91" s="125">
        <v>13</v>
      </c>
      <c r="N91" s="125">
        <v>14</v>
      </c>
      <c r="O91" s="125">
        <v>15</v>
      </c>
      <c r="P91" s="125">
        <v>16</v>
      </c>
      <c r="Q91" s="125">
        <v>17</v>
      </c>
      <c r="R91" s="126">
        <v>18</v>
      </c>
      <c r="S91" s="127">
        <v>19</v>
      </c>
      <c r="T91" s="127">
        <v>20</v>
      </c>
      <c r="U91" s="127">
        <v>21</v>
      </c>
      <c r="V91" s="127">
        <v>22</v>
      </c>
    </row>
    <row r="92" spans="1:24" ht="15.75" thickBot="1" x14ac:dyDescent="0.3">
      <c r="A92" s="195">
        <v>1</v>
      </c>
      <c r="B92" s="115" t="s">
        <v>281</v>
      </c>
      <c r="C92" s="115">
        <v>8</v>
      </c>
      <c r="D92" s="115"/>
      <c r="E92" s="115" t="s">
        <v>246</v>
      </c>
      <c r="F92" s="115">
        <v>1961</v>
      </c>
      <c r="G92" s="115" t="s">
        <v>233</v>
      </c>
      <c r="H92" s="115">
        <v>4</v>
      </c>
      <c r="I92" s="115">
        <v>2</v>
      </c>
      <c r="J92" s="115">
        <v>32</v>
      </c>
      <c r="K92" s="122">
        <v>1261</v>
      </c>
      <c r="L92" s="122">
        <v>1261</v>
      </c>
      <c r="M92" s="115" t="s">
        <v>282</v>
      </c>
      <c r="N92" s="115" t="s">
        <v>121</v>
      </c>
      <c r="O92" s="115">
        <v>115</v>
      </c>
      <c r="P92" s="115">
        <v>115</v>
      </c>
      <c r="Q92" s="122">
        <v>79511.7</v>
      </c>
      <c r="R92" s="122">
        <v>55417.19</v>
      </c>
      <c r="S92" s="119"/>
      <c r="T92" s="2"/>
      <c r="U92" s="574" t="s">
        <v>176</v>
      </c>
      <c r="V92" s="574" t="s">
        <v>283</v>
      </c>
    </row>
    <row r="93" spans="1:24" ht="15.75" thickBot="1" x14ac:dyDescent="0.3">
      <c r="A93" s="195">
        <v>2</v>
      </c>
      <c r="B93" s="115" t="s">
        <v>284</v>
      </c>
      <c r="C93" s="115">
        <v>7</v>
      </c>
      <c r="D93" s="115"/>
      <c r="E93" s="115" t="s">
        <v>211</v>
      </c>
      <c r="F93" s="115">
        <v>1962</v>
      </c>
      <c r="G93" s="115" t="s">
        <v>233</v>
      </c>
      <c r="H93" s="115">
        <v>3</v>
      </c>
      <c r="I93" s="115">
        <v>2</v>
      </c>
      <c r="J93" s="115">
        <v>24</v>
      </c>
      <c r="K93" s="122">
        <v>1037</v>
      </c>
      <c r="L93" s="122">
        <v>1037</v>
      </c>
      <c r="M93" s="115" t="s">
        <v>282</v>
      </c>
      <c r="N93" s="115" t="s">
        <v>42</v>
      </c>
      <c r="O93" s="115">
        <v>114</v>
      </c>
      <c r="P93" s="115">
        <v>114</v>
      </c>
      <c r="Q93" s="122">
        <v>80056.52</v>
      </c>
      <c r="R93" s="122">
        <v>55803.44</v>
      </c>
      <c r="S93" s="119"/>
      <c r="T93" s="2"/>
      <c r="U93" s="575"/>
      <c r="V93" s="575"/>
    </row>
    <row r="94" spans="1:24" ht="15.75" thickBot="1" x14ac:dyDescent="0.3">
      <c r="A94" s="195">
        <v>3</v>
      </c>
      <c r="B94" s="115" t="s">
        <v>285</v>
      </c>
      <c r="C94" s="115" t="s">
        <v>134</v>
      </c>
      <c r="D94" s="115"/>
      <c r="E94" s="115" t="s">
        <v>211</v>
      </c>
      <c r="F94" s="115">
        <v>1964</v>
      </c>
      <c r="G94" s="115" t="s">
        <v>233</v>
      </c>
      <c r="H94" s="115">
        <v>4</v>
      </c>
      <c r="I94" s="115">
        <v>3</v>
      </c>
      <c r="J94" s="115">
        <v>48</v>
      </c>
      <c r="K94" s="122">
        <v>2168</v>
      </c>
      <c r="L94" s="122">
        <v>2168</v>
      </c>
      <c r="M94" s="115" t="s">
        <v>282</v>
      </c>
      <c r="N94" s="115" t="s">
        <v>42</v>
      </c>
      <c r="O94" s="115">
        <v>160.30000000000001</v>
      </c>
      <c r="P94" s="115">
        <v>160.30000000000001</v>
      </c>
      <c r="Q94" s="122">
        <v>110832.42</v>
      </c>
      <c r="R94" s="122">
        <v>77246.759999999995</v>
      </c>
      <c r="S94" s="119"/>
      <c r="T94" s="2"/>
      <c r="U94" s="575"/>
      <c r="V94" s="575"/>
    </row>
    <row r="95" spans="1:24" ht="15.75" thickBot="1" x14ac:dyDescent="0.3">
      <c r="A95" s="195">
        <v>4</v>
      </c>
      <c r="B95" s="115" t="s">
        <v>284</v>
      </c>
      <c r="C95" s="115">
        <v>5</v>
      </c>
      <c r="D95" s="115"/>
      <c r="E95" s="115" t="s">
        <v>211</v>
      </c>
      <c r="F95" s="115">
        <v>1962</v>
      </c>
      <c r="G95" s="115" t="s">
        <v>233</v>
      </c>
      <c r="H95" s="115">
        <v>4</v>
      </c>
      <c r="I95" s="115">
        <v>2</v>
      </c>
      <c r="J95" s="115">
        <v>32</v>
      </c>
      <c r="K95" s="122">
        <v>1408</v>
      </c>
      <c r="L95" s="122">
        <v>1408</v>
      </c>
      <c r="M95" s="115" t="s">
        <v>282</v>
      </c>
      <c r="N95" s="115" t="s">
        <v>121</v>
      </c>
      <c r="O95" s="115">
        <v>114</v>
      </c>
      <c r="P95" s="115">
        <v>114</v>
      </c>
      <c r="Q95" s="122">
        <v>80056.52</v>
      </c>
      <c r="R95" s="122">
        <v>55803.44</v>
      </c>
      <c r="S95" s="119"/>
      <c r="T95" s="2"/>
      <c r="U95" s="575"/>
      <c r="V95" s="576"/>
    </row>
    <row r="96" spans="1:24" ht="30.75" thickBot="1" x14ac:dyDescent="0.3">
      <c r="A96" s="195"/>
      <c r="B96" s="115"/>
      <c r="C96" s="115"/>
      <c r="D96" s="115"/>
      <c r="E96" s="115"/>
      <c r="F96" s="115"/>
      <c r="G96" s="115"/>
      <c r="H96" s="115"/>
      <c r="I96" s="115"/>
      <c r="J96" s="115"/>
      <c r="K96" s="122"/>
      <c r="L96" s="122"/>
      <c r="M96" s="116" t="s">
        <v>286</v>
      </c>
      <c r="N96" s="115"/>
      <c r="O96" s="115"/>
      <c r="P96" s="115"/>
      <c r="Q96" s="196"/>
      <c r="R96" s="122">
        <v>99778.58</v>
      </c>
      <c r="S96" s="121"/>
      <c r="T96" s="6"/>
      <c r="U96" s="575"/>
      <c r="V96" s="197" t="s">
        <v>287</v>
      </c>
    </row>
    <row r="97" spans="1:23" ht="15.75" thickBot="1" x14ac:dyDescent="0.3">
      <c r="A97" s="195"/>
      <c r="B97" s="115"/>
      <c r="C97" s="115"/>
      <c r="D97" s="115"/>
      <c r="E97" s="115"/>
      <c r="F97" s="115"/>
      <c r="G97" s="115"/>
      <c r="H97" s="115"/>
      <c r="I97" s="115"/>
      <c r="J97" s="115"/>
      <c r="K97" s="122"/>
      <c r="L97" s="122"/>
      <c r="M97" s="115" t="s">
        <v>53</v>
      </c>
      <c r="N97" s="115"/>
      <c r="O97" s="115"/>
      <c r="P97" s="115"/>
      <c r="Q97" s="198">
        <f>SUM(Q92:Q96)</f>
        <v>350457.16000000003</v>
      </c>
      <c r="R97" s="199">
        <f>SUM(R92:R96)</f>
        <v>344049.41000000003</v>
      </c>
      <c r="S97" s="200"/>
      <c r="T97" s="9"/>
      <c r="U97" s="201"/>
      <c r="V97" s="202"/>
    </row>
    <row r="98" spans="1:23" ht="26.25" thickBot="1" x14ac:dyDescent="0.3">
      <c r="A98" s="195"/>
      <c r="B98" s="115"/>
      <c r="C98" s="115"/>
      <c r="D98" s="115"/>
      <c r="E98" s="115"/>
      <c r="F98" s="115"/>
      <c r="G98" s="115"/>
      <c r="H98" s="115"/>
      <c r="I98" s="115"/>
      <c r="J98" s="115"/>
      <c r="K98" s="122"/>
      <c r="L98" s="122"/>
      <c r="M98" s="223" t="s">
        <v>303</v>
      </c>
      <c r="N98" s="115"/>
      <c r="O98" s="115"/>
      <c r="P98" s="115"/>
      <c r="Q98" s="199"/>
      <c r="R98" s="241">
        <v>6407.76</v>
      </c>
      <c r="S98" s="242"/>
      <c r="T98" s="122"/>
      <c r="U98" s="222"/>
      <c r="V98" s="221"/>
    </row>
    <row r="99" spans="1:23" ht="26.25" thickBot="1" x14ac:dyDescent="0.3">
      <c r="A99" s="195">
        <v>5</v>
      </c>
      <c r="B99" s="115" t="s">
        <v>178</v>
      </c>
      <c r="C99" s="115">
        <v>4</v>
      </c>
      <c r="D99" s="115"/>
      <c r="E99" s="115" t="s">
        <v>246</v>
      </c>
      <c r="F99" s="115">
        <v>2009</v>
      </c>
      <c r="G99" s="115" t="s">
        <v>233</v>
      </c>
      <c r="H99" s="115">
        <v>17</v>
      </c>
      <c r="I99" s="115">
        <v>1</v>
      </c>
      <c r="J99" s="115">
        <v>152</v>
      </c>
      <c r="K99" s="122">
        <v>7844</v>
      </c>
      <c r="L99" s="115" t="s">
        <v>288</v>
      </c>
      <c r="M99" s="116" t="s">
        <v>180</v>
      </c>
      <c r="N99" s="115" t="s">
        <v>63</v>
      </c>
      <c r="O99" s="115">
        <v>610</v>
      </c>
      <c r="P99" s="115">
        <v>610</v>
      </c>
      <c r="Q99" s="115">
        <v>55926</v>
      </c>
      <c r="R99" s="122">
        <f>Q99</f>
        <v>55926</v>
      </c>
      <c r="S99" s="203"/>
      <c r="T99" s="4"/>
      <c r="U99" s="601" t="s">
        <v>187</v>
      </c>
      <c r="V99" s="2" t="s">
        <v>186</v>
      </c>
    </row>
    <row r="100" spans="1:23" ht="26.25" thickBot="1" x14ac:dyDescent="0.3">
      <c r="A100" s="195">
        <v>6</v>
      </c>
      <c r="B100" s="115" t="s">
        <v>178</v>
      </c>
      <c r="C100" s="115">
        <v>6</v>
      </c>
      <c r="D100" s="115"/>
      <c r="E100" s="115" t="s">
        <v>246</v>
      </c>
      <c r="F100" s="115">
        <v>2009</v>
      </c>
      <c r="G100" s="115" t="s">
        <v>233</v>
      </c>
      <c r="H100" s="115">
        <v>17</v>
      </c>
      <c r="I100" s="115">
        <v>1</v>
      </c>
      <c r="J100" s="115">
        <v>150</v>
      </c>
      <c r="K100" s="122">
        <v>7845</v>
      </c>
      <c r="L100" s="115" t="s">
        <v>288</v>
      </c>
      <c r="M100" s="116" t="s">
        <v>180</v>
      </c>
      <c r="N100" s="115" t="s">
        <v>63</v>
      </c>
      <c r="O100" s="115">
        <v>610</v>
      </c>
      <c r="P100" s="115">
        <v>610</v>
      </c>
      <c r="Q100" s="115">
        <v>55926</v>
      </c>
      <c r="R100" s="122">
        <v>79618</v>
      </c>
      <c r="S100" s="119"/>
      <c r="T100" s="2"/>
      <c r="U100" s="602"/>
      <c r="V100" s="2" t="s">
        <v>188</v>
      </c>
    </row>
    <row r="101" spans="1:23" ht="26.25" thickBot="1" x14ac:dyDescent="0.3">
      <c r="A101" s="195">
        <v>7</v>
      </c>
      <c r="B101" s="115" t="s">
        <v>178</v>
      </c>
      <c r="C101" s="115">
        <v>8</v>
      </c>
      <c r="D101" s="115"/>
      <c r="E101" s="115" t="s">
        <v>246</v>
      </c>
      <c r="F101" s="115">
        <v>2009</v>
      </c>
      <c r="G101" s="115" t="s">
        <v>233</v>
      </c>
      <c r="H101" s="115">
        <v>17</v>
      </c>
      <c r="I101" s="115">
        <v>2</v>
      </c>
      <c r="J101" s="115">
        <v>321</v>
      </c>
      <c r="K101" s="122">
        <v>16850</v>
      </c>
      <c r="L101" s="115" t="s">
        <v>289</v>
      </c>
      <c r="M101" s="116" t="s">
        <v>180</v>
      </c>
      <c r="N101" s="115" t="s">
        <v>63</v>
      </c>
      <c r="O101" s="204">
        <v>1220</v>
      </c>
      <c r="P101" s="204">
        <v>1220</v>
      </c>
      <c r="Q101" s="115">
        <v>111846</v>
      </c>
      <c r="R101" s="122">
        <v>99985</v>
      </c>
      <c r="S101" s="119"/>
      <c r="T101" s="2"/>
      <c r="U101" s="602"/>
      <c r="V101" s="2" t="s">
        <v>189</v>
      </c>
    </row>
    <row r="102" spans="1:23" ht="26.25" thickBot="1" x14ac:dyDescent="0.3">
      <c r="A102" s="195">
        <v>8</v>
      </c>
      <c r="B102" s="115" t="s">
        <v>178</v>
      </c>
      <c r="C102" s="115">
        <v>10</v>
      </c>
      <c r="D102" s="115"/>
      <c r="E102" s="115" t="s">
        <v>246</v>
      </c>
      <c r="F102" s="115">
        <v>2009</v>
      </c>
      <c r="G102" s="115" t="s">
        <v>233</v>
      </c>
      <c r="H102" s="115">
        <v>17</v>
      </c>
      <c r="I102" s="115">
        <v>2</v>
      </c>
      <c r="J102" s="115">
        <v>323</v>
      </c>
      <c r="K102" s="122">
        <v>15965</v>
      </c>
      <c r="L102" s="115" t="s">
        <v>290</v>
      </c>
      <c r="M102" s="116" t="s">
        <v>180</v>
      </c>
      <c r="N102" s="115" t="s">
        <v>63</v>
      </c>
      <c r="O102" s="204">
        <v>1220</v>
      </c>
      <c r="P102" s="204">
        <v>1220</v>
      </c>
      <c r="Q102" s="115">
        <v>111846</v>
      </c>
      <c r="R102" s="122">
        <v>99985</v>
      </c>
      <c r="S102" s="119"/>
      <c r="T102" s="2"/>
      <c r="U102" s="602"/>
      <c r="V102" s="2" t="s">
        <v>190</v>
      </c>
    </row>
    <row r="103" spans="1:23" ht="26.25" thickBot="1" x14ac:dyDescent="0.3">
      <c r="A103" s="195">
        <v>9</v>
      </c>
      <c r="B103" s="115" t="s">
        <v>82</v>
      </c>
      <c r="C103" s="115">
        <v>15</v>
      </c>
      <c r="D103" s="115"/>
      <c r="E103" s="115" t="s">
        <v>246</v>
      </c>
      <c r="F103" s="115">
        <v>2008</v>
      </c>
      <c r="G103" s="115" t="s">
        <v>233</v>
      </c>
      <c r="H103" s="115">
        <v>17</v>
      </c>
      <c r="I103" s="115">
        <v>1</v>
      </c>
      <c r="J103" s="115">
        <v>133</v>
      </c>
      <c r="K103" s="122">
        <v>8945</v>
      </c>
      <c r="L103" s="122">
        <v>8945</v>
      </c>
      <c r="M103" s="116" t="s">
        <v>180</v>
      </c>
      <c r="N103" s="115" t="s">
        <v>63</v>
      </c>
      <c r="O103" s="115">
        <v>660</v>
      </c>
      <c r="P103" s="115">
        <v>660</v>
      </c>
      <c r="Q103" s="115">
        <v>54788</v>
      </c>
      <c r="R103" s="122">
        <v>99864</v>
      </c>
      <c r="S103" s="119"/>
      <c r="T103" s="2"/>
      <c r="U103" s="602"/>
      <c r="V103" s="2" t="s">
        <v>191</v>
      </c>
    </row>
    <row r="104" spans="1:23" ht="26.25" thickBot="1" x14ac:dyDescent="0.3">
      <c r="A104" s="195">
        <v>10</v>
      </c>
      <c r="B104" s="115" t="s">
        <v>82</v>
      </c>
      <c r="C104" s="115" t="s">
        <v>179</v>
      </c>
      <c r="D104" s="115"/>
      <c r="E104" s="115" t="s">
        <v>246</v>
      </c>
      <c r="F104" s="115">
        <v>2008</v>
      </c>
      <c r="G104" s="115" t="s">
        <v>233</v>
      </c>
      <c r="H104" s="115">
        <v>17</v>
      </c>
      <c r="I104" s="115">
        <v>2</v>
      </c>
      <c r="J104" s="115">
        <v>231</v>
      </c>
      <c r="K104" s="122">
        <v>17003</v>
      </c>
      <c r="L104" s="122">
        <v>17003</v>
      </c>
      <c r="M104" s="116" t="s">
        <v>180</v>
      </c>
      <c r="N104" s="115" t="s">
        <v>63</v>
      </c>
      <c r="O104" s="204">
        <v>1320</v>
      </c>
      <c r="P104" s="204">
        <v>1320</v>
      </c>
      <c r="Q104" s="115">
        <v>109696</v>
      </c>
      <c r="R104" s="122">
        <v>64623</v>
      </c>
      <c r="S104" s="119"/>
      <c r="T104" s="2"/>
      <c r="U104" s="603"/>
      <c r="V104" s="2" t="s">
        <v>192</v>
      </c>
    </row>
    <row r="105" spans="1:23" ht="30.75" thickBot="1" x14ac:dyDescent="0.3">
      <c r="A105" s="205">
        <v>11</v>
      </c>
      <c r="B105" s="117" t="s">
        <v>181</v>
      </c>
      <c r="C105" s="117">
        <v>1</v>
      </c>
      <c r="D105" s="117"/>
      <c r="E105" s="117" t="s">
        <v>211</v>
      </c>
      <c r="F105" s="117">
        <v>1965</v>
      </c>
      <c r="G105" s="117" t="s">
        <v>233</v>
      </c>
      <c r="H105" s="117">
        <v>4</v>
      </c>
      <c r="I105" s="117">
        <v>3</v>
      </c>
      <c r="J105" s="117">
        <v>48</v>
      </c>
      <c r="K105" s="117" t="s">
        <v>291</v>
      </c>
      <c r="L105" s="117" t="s">
        <v>291</v>
      </c>
      <c r="M105" s="118" t="s">
        <v>182</v>
      </c>
      <c r="N105" s="117"/>
      <c r="O105" s="117"/>
      <c r="P105" s="117"/>
      <c r="Q105" s="117">
        <v>40235.56</v>
      </c>
      <c r="R105" s="122">
        <f>Q105</f>
        <v>40235.56</v>
      </c>
      <c r="S105" s="121"/>
      <c r="T105" s="6"/>
      <c r="U105" s="206" t="s">
        <v>193</v>
      </c>
      <c r="V105" s="2" t="s">
        <v>292</v>
      </c>
      <c r="W105" s="8"/>
    </row>
    <row r="106" spans="1:23" ht="26.25" thickBot="1" x14ac:dyDescent="0.3">
      <c r="A106" s="119">
        <v>12</v>
      </c>
      <c r="B106" s="119" t="s">
        <v>82</v>
      </c>
      <c r="C106" s="119">
        <v>18</v>
      </c>
      <c r="D106" s="119"/>
      <c r="E106" s="119" t="s">
        <v>244</v>
      </c>
      <c r="F106" s="119">
        <v>1971</v>
      </c>
      <c r="G106" s="119" t="s">
        <v>212</v>
      </c>
      <c r="H106" s="119">
        <v>12</v>
      </c>
      <c r="I106" s="119">
        <v>1</v>
      </c>
      <c r="J106" s="119">
        <v>96</v>
      </c>
      <c r="K106" s="119" t="s">
        <v>293</v>
      </c>
      <c r="L106" s="119" t="s">
        <v>293</v>
      </c>
      <c r="M106" s="120" t="s">
        <v>180</v>
      </c>
      <c r="N106" s="119" t="s">
        <v>63</v>
      </c>
      <c r="O106" s="119">
        <v>142.82</v>
      </c>
      <c r="P106" s="119">
        <v>142.82</v>
      </c>
      <c r="Q106" s="119">
        <v>74000</v>
      </c>
      <c r="R106" s="207">
        <f>Q106</f>
        <v>74000</v>
      </c>
      <c r="S106" s="119"/>
      <c r="T106" s="2"/>
      <c r="U106" s="594" t="s">
        <v>300</v>
      </c>
      <c r="V106" s="2"/>
    </row>
    <row r="107" spans="1:23" ht="26.25" thickBot="1" x14ac:dyDescent="0.3">
      <c r="A107" s="195">
        <v>13</v>
      </c>
      <c r="B107" s="115" t="s">
        <v>82</v>
      </c>
      <c r="C107" s="115">
        <v>19</v>
      </c>
      <c r="D107" s="115"/>
      <c r="E107" s="115" t="s">
        <v>244</v>
      </c>
      <c r="F107" s="115">
        <v>1971</v>
      </c>
      <c r="G107" s="115" t="s">
        <v>212</v>
      </c>
      <c r="H107" s="115">
        <v>12</v>
      </c>
      <c r="I107" s="115">
        <v>1</v>
      </c>
      <c r="J107" s="115">
        <v>96</v>
      </c>
      <c r="K107" s="115" t="s">
        <v>294</v>
      </c>
      <c r="L107" s="115" t="s">
        <v>294</v>
      </c>
      <c r="M107" s="116" t="s">
        <v>180</v>
      </c>
      <c r="N107" s="115" t="s">
        <v>63</v>
      </c>
      <c r="O107" s="115">
        <v>353.7</v>
      </c>
      <c r="P107" s="115">
        <v>353.7</v>
      </c>
      <c r="Q107" s="115">
        <v>97586.41</v>
      </c>
      <c r="R107" s="207">
        <f>Q107</f>
        <v>97586.41</v>
      </c>
      <c r="S107" s="203"/>
      <c r="T107" s="4"/>
      <c r="U107" s="595"/>
      <c r="V107" s="4"/>
    </row>
    <row r="108" spans="1:23" ht="26.25" thickBot="1" x14ac:dyDescent="0.3">
      <c r="A108" s="195">
        <v>14</v>
      </c>
      <c r="B108" s="115" t="s">
        <v>82</v>
      </c>
      <c r="C108" s="115">
        <v>20</v>
      </c>
      <c r="D108" s="115"/>
      <c r="E108" s="115" t="s">
        <v>244</v>
      </c>
      <c r="F108" s="115">
        <v>1972</v>
      </c>
      <c r="G108" s="115" t="s">
        <v>212</v>
      </c>
      <c r="H108" s="115">
        <v>12</v>
      </c>
      <c r="I108" s="115">
        <v>1</v>
      </c>
      <c r="J108" s="115">
        <v>84</v>
      </c>
      <c r="K108" s="115" t="s">
        <v>295</v>
      </c>
      <c r="L108" s="115" t="s">
        <v>295</v>
      </c>
      <c r="M108" s="116" t="s">
        <v>180</v>
      </c>
      <c r="N108" s="115" t="s">
        <v>63</v>
      </c>
      <c r="O108" s="115">
        <v>89.04</v>
      </c>
      <c r="P108" s="115">
        <v>89.04</v>
      </c>
      <c r="Q108" s="115">
        <v>46139.14</v>
      </c>
      <c r="R108" s="207">
        <f>Q108</f>
        <v>46139.14</v>
      </c>
      <c r="S108" s="119"/>
      <c r="T108" s="2"/>
      <c r="U108" s="596"/>
      <c r="V108" s="2"/>
    </row>
    <row r="109" spans="1:23" ht="26.25" thickBot="1" x14ac:dyDescent="0.3">
      <c r="A109" s="597">
        <v>15</v>
      </c>
      <c r="B109" s="597" t="s">
        <v>183</v>
      </c>
      <c r="C109" s="597">
        <v>25</v>
      </c>
      <c r="D109" s="597"/>
      <c r="E109" s="597" t="s">
        <v>246</v>
      </c>
      <c r="F109" s="597">
        <v>2001</v>
      </c>
      <c r="G109" s="597" t="s">
        <v>233</v>
      </c>
      <c r="H109" s="597">
        <v>14</v>
      </c>
      <c r="I109" s="597">
        <v>1</v>
      </c>
      <c r="J109" s="597">
        <v>56</v>
      </c>
      <c r="K109" s="597" t="s">
        <v>296</v>
      </c>
      <c r="L109" s="597" t="s">
        <v>296</v>
      </c>
      <c r="M109" s="116" t="s">
        <v>184</v>
      </c>
      <c r="N109" s="115"/>
      <c r="O109" s="115"/>
      <c r="P109" s="115"/>
      <c r="Q109" s="115">
        <v>29250</v>
      </c>
      <c r="R109" s="207">
        <f>Q109</f>
        <v>29250</v>
      </c>
      <c r="S109" s="207"/>
      <c r="T109" s="2"/>
      <c r="U109" s="2" t="s">
        <v>297</v>
      </c>
      <c r="V109" s="2"/>
    </row>
    <row r="110" spans="1:23" ht="15.75" thickBot="1" x14ac:dyDescent="0.3">
      <c r="A110" s="598"/>
      <c r="B110" s="598"/>
      <c r="C110" s="598"/>
      <c r="D110" s="598"/>
      <c r="E110" s="598"/>
      <c r="F110" s="598"/>
      <c r="G110" s="598"/>
      <c r="H110" s="598"/>
      <c r="I110" s="598"/>
      <c r="J110" s="598"/>
      <c r="K110" s="598"/>
      <c r="L110" s="598"/>
      <c r="M110" s="117" t="s">
        <v>185</v>
      </c>
      <c r="N110" s="117" t="s">
        <v>243</v>
      </c>
      <c r="O110" s="117">
        <v>1</v>
      </c>
      <c r="P110" s="117">
        <v>1</v>
      </c>
      <c r="Q110" s="117">
        <v>420000</v>
      </c>
      <c r="R110" s="122">
        <v>409000</v>
      </c>
      <c r="S110" s="208"/>
      <c r="T110" s="6"/>
      <c r="U110" s="6"/>
      <c r="V110" s="6"/>
    </row>
    <row r="111" spans="1:23" ht="15.75" thickBot="1" x14ac:dyDescent="0.3">
      <c r="A111" s="205"/>
      <c r="B111" s="117"/>
      <c r="C111" s="117"/>
      <c r="D111" s="117"/>
      <c r="E111" s="117"/>
      <c r="F111" s="117"/>
      <c r="G111" s="117"/>
      <c r="H111" s="117"/>
      <c r="I111" s="117"/>
      <c r="J111" s="117"/>
      <c r="K111" s="117"/>
      <c r="L111" s="117"/>
      <c r="M111" s="117"/>
      <c r="N111" s="117"/>
      <c r="O111" s="117"/>
      <c r="P111" s="117"/>
      <c r="Q111" s="117">
        <f>SUM(Q99:Q110)</f>
        <v>1207239.1100000001</v>
      </c>
      <c r="R111" s="208"/>
      <c r="S111" s="208"/>
    </row>
    <row r="112" spans="1:23" ht="15.75" thickBot="1" x14ac:dyDescent="0.3">
      <c r="A112" s="209"/>
      <c r="B112" s="158"/>
      <c r="C112" s="158"/>
      <c r="D112" s="158"/>
      <c r="E112" s="158"/>
      <c r="F112" s="158"/>
      <c r="G112" s="158"/>
      <c r="H112" s="158"/>
      <c r="I112" s="158"/>
      <c r="J112" s="158"/>
      <c r="K112" s="158"/>
      <c r="L112" s="158"/>
      <c r="M112" s="158"/>
      <c r="N112" s="210"/>
      <c r="O112" s="210"/>
      <c r="P112" s="158"/>
      <c r="Q112" s="211">
        <v>1557696.27</v>
      </c>
      <c r="R112" s="211">
        <f>R97+R98+R99+R100+R101+R102+R103+R104+R105+R106+R107+R108+R109+R110</f>
        <v>1546669.2799999998</v>
      </c>
      <c r="S112" s="158"/>
      <c r="T112" s="81"/>
      <c r="U112" s="81"/>
      <c r="V112" s="82"/>
    </row>
    <row r="113" spans="13:18" x14ac:dyDescent="0.25">
      <c r="M113" s="208"/>
      <c r="P113" s="208" t="s">
        <v>298</v>
      </c>
      <c r="Q113" s="8"/>
      <c r="R113" s="212">
        <f>R97</f>
        <v>344049.41000000003</v>
      </c>
    </row>
    <row r="114" spans="13:18" x14ac:dyDescent="0.25">
      <c r="M114" s="208"/>
      <c r="P114" s="208" t="s">
        <v>299</v>
      </c>
      <c r="R114" s="212">
        <f>R99+R100+R101+R102+R103+R104+R106+R107+R108</f>
        <v>717726.55</v>
      </c>
    </row>
    <row r="115" spans="13:18" x14ac:dyDescent="0.25">
      <c r="M115" s="208"/>
      <c r="P115" s="208" t="s">
        <v>279</v>
      </c>
      <c r="R115" s="212">
        <f>R105+R109</f>
        <v>69485.56</v>
      </c>
    </row>
    <row r="116" spans="13:18" x14ac:dyDescent="0.25">
      <c r="M116" s="208"/>
      <c r="P116" s="208" t="s">
        <v>616</v>
      </c>
      <c r="R116" s="212">
        <f>R110</f>
        <v>409000</v>
      </c>
    </row>
    <row r="117" spans="13:18" x14ac:dyDescent="0.25">
      <c r="M117" s="208"/>
      <c r="P117" s="162" t="s">
        <v>312</v>
      </c>
      <c r="R117" s="212">
        <f>R98</f>
        <v>6407.76</v>
      </c>
    </row>
    <row r="118" spans="13:18" x14ac:dyDescent="0.25">
      <c r="M118" t="s">
        <v>617</v>
      </c>
      <c r="Q118" s="404">
        <f>Q86+Q112</f>
        <v>29961258.830000002</v>
      </c>
      <c r="R118" s="405">
        <f>T86+R112</f>
        <v>28828716.405511007</v>
      </c>
    </row>
    <row r="121" spans="13:18" x14ac:dyDescent="0.25">
      <c r="Q121" s="8"/>
    </row>
  </sheetData>
  <mergeCells count="193">
    <mergeCell ref="A109:A110"/>
    <mergeCell ref="N59:P59"/>
    <mergeCell ref="T64:T68"/>
    <mergeCell ref="T77:T78"/>
    <mergeCell ref="L109:L110"/>
    <mergeCell ref="K59:K60"/>
    <mergeCell ref="L59:L60"/>
    <mergeCell ref="M59:M60"/>
    <mergeCell ref="G109:G110"/>
    <mergeCell ref="T89:T90"/>
    <mergeCell ref="G89:G90"/>
    <mergeCell ref="H89:H90"/>
    <mergeCell ref="I89:I90"/>
    <mergeCell ref="J89:J90"/>
    <mergeCell ref="K89:K90"/>
    <mergeCell ref="L89:L90"/>
    <mergeCell ref="B109:B110"/>
    <mergeCell ref="C109:C110"/>
    <mergeCell ref="D109:D110"/>
    <mergeCell ref="H109:H110"/>
    <mergeCell ref="I109:I110"/>
    <mergeCell ref="J109:J110"/>
    <mergeCell ref="K109:K110"/>
    <mergeCell ref="A79:A80"/>
    <mergeCell ref="X59:X60"/>
    <mergeCell ref="W62:W63"/>
    <mergeCell ref="W64:W69"/>
    <mergeCell ref="X64:X69"/>
    <mergeCell ref="A70:A73"/>
    <mergeCell ref="B70:B73"/>
    <mergeCell ref="C70:C73"/>
    <mergeCell ref="D70:D73"/>
    <mergeCell ref="E70:E73"/>
    <mergeCell ref="F70:F73"/>
    <mergeCell ref="Q59:Q60"/>
    <mergeCell ref="R59:S59"/>
    <mergeCell ref="T59:T60"/>
    <mergeCell ref="U59:U60"/>
    <mergeCell ref="V59:V60"/>
    <mergeCell ref="X70:X75"/>
    <mergeCell ref="U89:U90"/>
    <mergeCell ref="R89:R90"/>
    <mergeCell ref="E109:E110"/>
    <mergeCell ref="E46:E47"/>
    <mergeCell ref="F46:F47"/>
    <mergeCell ref="G46:G47"/>
    <mergeCell ref="H46:H47"/>
    <mergeCell ref="I46:I47"/>
    <mergeCell ref="G59:G60"/>
    <mergeCell ref="H59:H60"/>
    <mergeCell ref="I70:I73"/>
    <mergeCell ref="J70:J73"/>
    <mergeCell ref="K70:K73"/>
    <mergeCell ref="L70:L73"/>
    <mergeCell ref="T79:T80"/>
    <mergeCell ref="U92:U96"/>
    <mergeCell ref="M89:M90"/>
    <mergeCell ref="N89:P89"/>
    <mergeCell ref="Q89:Q90"/>
    <mergeCell ref="M79:M80"/>
    <mergeCell ref="U44:U46"/>
    <mergeCell ref="V89:V90"/>
    <mergeCell ref="W70:W75"/>
    <mergeCell ref="S89:S90"/>
    <mergeCell ref="U106:U108"/>
    <mergeCell ref="F109:F110"/>
    <mergeCell ref="U79:U80"/>
    <mergeCell ref="A58:S58"/>
    <mergeCell ref="A59:A60"/>
    <mergeCell ref="B59:B60"/>
    <mergeCell ref="C59:C60"/>
    <mergeCell ref="D59:D60"/>
    <mergeCell ref="E59:E60"/>
    <mergeCell ref="J59:J60"/>
    <mergeCell ref="V92:V95"/>
    <mergeCell ref="U99:U104"/>
    <mergeCell ref="A87:S87"/>
    <mergeCell ref="A89:A90"/>
    <mergeCell ref="B89:B90"/>
    <mergeCell ref="C89:C90"/>
    <mergeCell ref="D89:D90"/>
    <mergeCell ref="E89:E90"/>
    <mergeCell ref="F89:F90"/>
    <mergeCell ref="G70:G73"/>
    <mergeCell ref="H70:H73"/>
    <mergeCell ref="A46:A47"/>
    <mergeCell ref="L33:L37"/>
    <mergeCell ref="K46:K47"/>
    <mergeCell ref="L46:L47"/>
    <mergeCell ref="A33:A37"/>
    <mergeCell ref="B33:B37"/>
    <mergeCell ref="C33:C37"/>
    <mergeCell ref="W59:W60"/>
    <mergeCell ref="I59:I60"/>
    <mergeCell ref="F59:F60"/>
    <mergeCell ref="B46:B47"/>
    <mergeCell ref="C46:C47"/>
    <mergeCell ref="D46:D47"/>
    <mergeCell ref="U49:U50"/>
    <mergeCell ref="V49:V50"/>
    <mergeCell ref="E33:E37"/>
    <mergeCell ref="F33:F37"/>
    <mergeCell ref="G33:G37"/>
    <mergeCell ref="U27:U38"/>
    <mergeCell ref="V27:V38"/>
    <mergeCell ref="I27:I31"/>
    <mergeCell ref="J27:J31"/>
    <mergeCell ref="K27:K31"/>
    <mergeCell ref="L27:L31"/>
    <mergeCell ref="V44:V46"/>
    <mergeCell ref="M39:M42"/>
    <mergeCell ref="Q39:Q42"/>
    <mergeCell ref="R39:R42"/>
    <mergeCell ref="S39:S42"/>
    <mergeCell ref="U39:U42"/>
    <mergeCell ref="V39:V42"/>
    <mergeCell ref="I33:I37"/>
    <mergeCell ref="J33:J37"/>
    <mergeCell ref="K33:K37"/>
    <mergeCell ref="J46:J47"/>
    <mergeCell ref="D33:D37"/>
    <mergeCell ref="G27:G31"/>
    <mergeCell ref="H27:H31"/>
    <mergeCell ref="A27:A31"/>
    <mergeCell ref="B27:B31"/>
    <mergeCell ref="C27:C31"/>
    <mergeCell ref="D27:D31"/>
    <mergeCell ref="E27:E31"/>
    <mergeCell ref="F27:F31"/>
    <mergeCell ref="H33:H37"/>
    <mergeCell ref="U20:U23"/>
    <mergeCell ref="V20:V23"/>
    <mergeCell ref="U25:U26"/>
    <mergeCell ref="V25:V26"/>
    <mergeCell ref="A18:A19"/>
    <mergeCell ref="B18:B19"/>
    <mergeCell ref="C18:C19"/>
    <mergeCell ref="D18:D19"/>
    <mergeCell ref="E18:E19"/>
    <mergeCell ref="F18:F19"/>
    <mergeCell ref="G18:G19"/>
    <mergeCell ref="H18:H19"/>
    <mergeCell ref="I18:I19"/>
    <mergeCell ref="J18:J19"/>
    <mergeCell ref="K18:K19"/>
    <mergeCell ref="G11:G17"/>
    <mergeCell ref="H11:H17"/>
    <mergeCell ref="I11:I17"/>
    <mergeCell ref="J11:J17"/>
    <mergeCell ref="K11:K17"/>
    <mergeCell ref="L11:L17"/>
    <mergeCell ref="F11:F17"/>
    <mergeCell ref="G5:G9"/>
    <mergeCell ref="H5:H9"/>
    <mergeCell ref="I5:I9"/>
    <mergeCell ref="J5:J9"/>
    <mergeCell ref="K5:K9"/>
    <mergeCell ref="F5:F9"/>
    <mergeCell ref="S2:S3"/>
    <mergeCell ref="L18:L19"/>
    <mergeCell ref="T2:T3"/>
    <mergeCell ref="U2:U3"/>
    <mergeCell ref="V2:V3"/>
    <mergeCell ref="A5:A9"/>
    <mergeCell ref="B5:B9"/>
    <mergeCell ref="C5:C9"/>
    <mergeCell ref="D5:D9"/>
    <mergeCell ref="E5:E9"/>
    <mergeCell ref="J2:J3"/>
    <mergeCell ref="K2:K3"/>
    <mergeCell ref="L2:L3"/>
    <mergeCell ref="M2:M3"/>
    <mergeCell ref="N2:P2"/>
    <mergeCell ref="Q2:Q3"/>
    <mergeCell ref="L5:L9"/>
    <mergeCell ref="U5:U16"/>
    <mergeCell ref="V5:V16"/>
    <mergeCell ref="A11:A17"/>
    <mergeCell ref="B11:B17"/>
    <mergeCell ref="C11:C17"/>
    <mergeCell ref="D11:D17"/>
    <mergeCell ref="E11:E17"/>
    <mergeCell ref="A1:R1"/>
    <mergeCell ref="A2:A3"/>
    <mergeCell ref="B2:B3"/>
    <mergeCell ref="C2:C3"/>
    <mergeCell ref="D2:D3"/>
    <mergeCell ref="E2:E3"/>
    <mergeCell ref="F2:F3"/>
    <mergeCell ref="G2:G3"/>
    <mergeCell ref="H2:H3"/>
    <mergeCell ref="I2:I3"/>
    <mergeCell ref="R2:R3"/>
  </mergeCells>
  <pageMargins left="0.31496062992125984" right="0.31496062992125984" top="0.35433070866141736" bottom="0.35433070866141736"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topLeftCell="A85" workbookViewId="0">
      <selection activeCell="U82" sqref="U82"/>
    </sheetView>
  </sheetViews>
  <sheetFormatPr defaultRowHeight="15" x14ac:dyDescent="0.25"/>
  <cols>
    <col min="25" max="25" width="11.42578125" bestFit="1" customWidth="1"/>
    <col min="26" max="26" width="11" customWidth="1"/>
  </cols>
  <sheetData>
    <row r="1" spans="1:26" ht="18.75" x14ac:dyDescent="0.25">
      <c r="A1" s="639" t="s">
        <v>9</v>
      </c>
      <c r="B1" s="625"/>
      <c r="C1" s="625"/>
      <c r="D1" s="625"/>
      <c r="E1" s="625"/>
      <c r="F1" s="625"/>
      <c r="G1" s="625"/>
      <c r="H1" s="625"/>
      <c r="I1" s="625"/>
      <c r="J1" s="625"/>
      <c r="K1" s="625"/>
      <c r="L1" s="625"/>
      <c r="M1" s="625"/>
      <c r="N1" s="625"/>
      <c r="O1" s="625"/>
      <c r="P1" s="625"/>
      <c r="Q1" s="625"/>
      <c r="R1" s="625"/>
      <c r="S1" s="625"/>
      <c r="T1" s="625"/>
      <c r="U1" s="625"/>
      <c r="V1" s="625"/>
      <c r="W1" s="625"/>
      <c r="X1" s="625"/>
      <c r="Y1" s="625"/>
    </row>
    <row r="2" spans="1:26" ht="18.75" x14ac:dyDescent="0.25">
      <c r="A2" s="639" t="s">
        <v>313</v>
      </c>
      <c r="B2" s="625"/>
      <c r="C2" s="625"/>
      <c r="D2" s="625"/>
      <c r="E2" s="625"/>
      <c r="F2" s="625"/>
      <c r="G2" s="625"/>
      <c r="H2" s="625"/>
      <c r="I2" s="625"/>
      <c r="J2" s="625"/>
      <c r="K2" s="625"/>
      <c r="L2" s="625"/>
      <c r="M2" s="625"/>
      <c r="N2" s="625"/>
      <c r="O2" s="625"/>
      <c r="P2" s="625"/>
      <c r="Q2" s="625"/>
      <c r="R2" s="625"/>
      <c r="S2" s="625"/>
      <c r="T2" s="625"/>
      <c r="U2" s="625"/>
      <c r="V2" s="625"/>
      <c r="W2" s="625"/>
      <c r="X2" s="625"/>
      <c r="Y2" s="625"/>
    </row>
    <row r="3" spans="1:26" ht="16.5" thickBot="1" x14ac:dyDescent="0.3">
      <c r="A3" s="640" t="s">
        <v>314</v>
      </c>
      <c r="B3" s="640"/>
      <c r="C3" s="640"/>
      <c r="D3" s="640"/>
      <c r="E3" s="640"/>
      <c r="F3" s="640"/>
      <c r="G3" s="640"/>
      <c r="H3" s="640"/>
      <c r="I3" s="640"/>
      <c r="J3" s="640"/>
      <c r="K3" s="640"/>
      <c r="L3" s="640"/>
      <c r="M3" s="640"/>
      <c r="N3" s="640"/>
      <c r="O3" s="640"/>
      <c r="P3" s="640"/>
      <c r="Q3" s="640"/>
      <c r="R3" s="640"/>
      <c r="S3" s="640"/>
      <c r="T3" s="640"/>
      <c r="U3" s="640"/>
      <c r="V3" s="640"/>
      <c r="W3" s="640"/>
      <c r="X3" s="640"/>
      <c r="Y3" s="640"/>
      <c r="Z3" s="640"/>
    </row>
    <row r="4" spans="1:26" ht="48.75" thickBot="1" x14ac:dyDescent="0.3">
      <c r="A4" s="589" t="s">
        <v>315</v>
      </c>
      <c r="B4" s="589" t="s">
        <v>316</v>
      </c>
      <c r="C4" s="637" t="s">
        <v>317</v>
      </c>
      <c r="D4" s="638"/>
      <c r="E4" s="637" t="s">
        <v>318</v>
      </c>
      <c r="F4" s="638"/>
      <c r="G4" s="637" t="s">
        <v>319</v>
      </c>
      <c r="H4" s="638"/>
      <c r="I4" s="637" t="s">
        <v>320</v>
      </c>
      <c r="J4" s="638"/>
      <c r="K4" s="637" t="s">
        <v>321</v>
      </c>
      <c r="L4" s="638"/>
      <c r="M4" s="637" t="s">
        <v>322</v>
      </c>
      <c r="N4" s="638"/>
      <c r="O4" s="637" t="s">
        <v>323</v>
      </c>
      <c r="P4" s="638"/>
      <c r="Q4" s="637" t="s">
        <v>324</v>
      </c>
      <c r="R4" s="638"/>
      <c r="S4" s="637" t="s">
        <v>325</v>
      </c>
      <c r="T4" s="638"/>
      <c r="U4" s="637" t="s">
        <v>326</v>
      </c>
      <c r="V4" s="638"/>
      <c r="W4" s="637" t="s">
        <v>327</v>
      </c>
      <c r="X4" s="638"/>
      <c r="Y4" s="248" t="s">
        <v>328</v>
      </c>
      <c r="Z4" s="249"/>
    </row>
    <row r="5" spans="1:26" ht="16.5" thickBot="1" x14ac:dyDescent="0.3">
      <c r="A5" s="590"/>
      <c r="B5" s="590"/>
      <c r="C5" s="22" t="s">
        <v>214</v>
      </c>
      <c r="D5" s="22" t="s">
        <v>121</v>
      </c>
      <c r="E5" s="22" t="s">
        <v>243</v>
      </c>
      <c r="F5" s="22" t="s">
        <v>121</v>
      </c>
      <c r="G5" s="22" t="s">
        <v>243</v>
      </c>
      <c r="H5" s="22" t="s">
        <v>121</v>
      </c>
      <c r="I5" s="22" t="s">
        <v>214</v>
      </c>
      <c r="J5" s="22" t="s">
        <v>121</v>
      </c>
      <c r="K5" s="22" t="s">
        <v>214</v>
      </c>
      <c r="L5" s="22" t="s">
        <v>121</v>
      </c>
      <c r="M5" s="22" t="s">
        <v>243</v>
      </c>
      <c r="N5" s="22" t="s">
        <v>121</v>
      </c>
      <c r="O5" s="22" t="s">
        <v>243</v>
      </c>
      <c r="P5" s="22" t="s">
        <v>121</v>
      </c>
      <c r="Q5" s="22" t="s">
        <v>243</v>
      </c>
      <c r="R5" s="22" t="s">
        <v>121</v>
      </c>
      <c r="S5" s="22" t="s">
        <v>243</v>
      </c>
      <c r="T5" s="22" t="s">
        <v>214</v>
      </c>
      <c r="U5" s="22" t="s">
        <v>329</v>
      </c>
      <c r="V5" s="22" t="s">
        <v>121</v>
      </c>
      <c r="W5" s="22" t="s">
        <v>243</v>
      </c>
      <c r="X5" s="22" t="s">
        <v>121</v>
      </c>
      <c r="Y5" s="22" t="s">
        <v>330</v>
      </c>
      <c r="Z5" s="249"/>
    </row>
    <row r="6" spans="1:26" ht="34.5" thickBot="1" x14ac:dyDescent="0.3">
      <c r="A6" s="250" t="s">
        <v>103</v>
      </c>
      <c r="B6" s="169">
        <v>1540</v>
      </c>
      <c r="C6" s="169">
        <v>1540</v>
      </c>
      <c r="D6" s="71">
        <v>154</v>
      </c>
      <c r="E6" s="71">
        <v>10</v>
      </c>
      <c r="F6" s="71">
        <v>193.4</v>
      </c>
      <c r="G6" s="71">
        <v>7</v>
      </c>
      <c r="H6" s="71">
        <v>16.8</v>
      </c>
      <c r="I6" s="71">
        <v>0</v>
      </c>
      <c r="J6" s="71">
        <v>0</v>
      </c>
      <c r="K6" s="71">
        <v>0</v>
      </c>
      <c r="L6" s="71">
        <v>0</v>
      </c>
      <c r="M6" s="71">
        <v>0</v>
      </c>
      <c r="N6" s="71">
        <v>0</v>
      </c>
      <c r="O6" s="71">
        <v>0</v>
      </c>
      <c r="P6" s="71">
        <v>0</v>
      </c>
      <c r="Q6" s="71">
        <v>0</v>
      </c>
      <c r="R6" s="71">
        <v>0</v>
      </c>
      <c r="S6" s="71">
        <v>0</v>
      </c>
      <c r="T6" s="71">
        <v>0</v>
      </c>
      <c r="U6" s="71">
        <v>15</v>
      </c>
      <c r="V6" s="71">
        <v>8.4</v>
      </c>
      <c r="W6" s="71">
        <v>2</v>
      </c>
      <c r="X6" s="71">
        <v>15.2</v>
      </c>
      <c r="Y6" s="30">
        <v>321266.2</v>
      </c>
      <c r="Z6" s="249"/>
    </row>
    <row r="7" spans="1:26" ht="23.25" thickBot="1" x14ac:dyDescent="0.3">
      <c r="A7" s="250" t="s">
        <v>101</v>
      </c>
      <c r="B7" s="71">
        <v>620</v>
      </c>
      <c r="C7" s="71">
        <v>620</v>
      </c>
      <c r="D7" s="71">
        <v>62</v>
      </c>
      <c r="E7" s="71">
        <v>5</v>
      </c>
      <c r="F7" s="71">
        <v>110</v>
      </c>
      <c r="G7" s="71">
        <v>2</v>
      </c>
      <c r="H7" s="71">
        <v>4.8</v>
      </c>
      <c r="I7" s="71">
        <v>0</v>
      </c>
      <c r="J7" s="71">
        <v>0</v>
      </c>
      <c r="K7" s="71">
        <v>0</v>
      </c>
      <c r="L7" s="71">
        <v>0</v>
      </c>
      <c r="M7" s="71">
        <v>0</v>
      </c>
      <c r="N7" s="71">
        <v>0</v>
      </c>
      <c r="O7" s="71">
        <v>0</v>
      </c>
      <c r="P7" s="71">
        <v>0</v>
      </c>
      <c r="Q7" s="71">
        <v>0</v>
      </c>
      <c r="R7" s="71">
        <v>0</v>
      </c>
      <c r="S7" s="71">
        <v>0</v>
      </c>
      <c r="T7" s="71">
        <v>0</v>
      </c>
      <c r="U7" s="71">
        <v>9</v>
      </c>
      <c r="V7" s="71">
        <v>4.8</v>
      </c>
      <c r="W7" s="71">
        <v>1</v>
      </c>
      <c r="X7" s="71">
        <v>8.8000000000000007</v>
      </c>
      <c r="Y7" s="30">
        <v>156725.67000000001</v>
      </c>
      <c r="Z7" s="249"/>
    </row>
    <row r="8" spans="1:26" ht="23.25" thickBot="1" x14ac:dyDescent="0.3">
      <c r="A8" s="250" t="s">
        <v>104</v>
      </c>
      <c r="B8" s="169">
        <v>1844</v>
      </c>
      <c r="C8" s="169">
        <v>1844</v>
      </c>
      <c r="D8" s="71">
        <v>368.8</v>
      </c>
      <c r="E8" s="71">
        <v>10</v>
      </c>
      <c r="F8" s="71">
        <v>272.2</v>
      </c>
      <c r="G8" s="71">
        <v>10</v>
      </c>
      <c r="H8" s="71">
        <v>24</v>
      </c>
      <c r="I8" s="71">
        <v>0</v>
      </c>
      <c r="J8" s="71">
        <v>0</v>
      </c>
      <c r="K8" s="71">
        <v>0</v>
      </c>
      <c r="L8" s="71">
        <v>0</v>
      </c>
      <c r="M8" s="71">
        <v>0</v>
      </c>
      <c r="N8" s="71">
        <v>0</v>
      </c>
      <c r="O8" s="71">
        <v>0</v>
      </c>
      <c r="P8" s="71">
        <v>0</v>
      </c>
      <c r="Q8" s="71">
        <v>0</v>
      </c>
      <c r="R8" s="71">
        <v>0</v>
      </c>
      <c r="S8" s="71">
        <v>0</v>
      </c>
      <c r="T8" s="71">
        <v>0</v>
      </c>
      <c r="U8" s="71">
        <v>119</v>
      </c>
      <c r="V8" s="71">
        <v>70.8</v>
      </c>
      <c r="W8" s="71">
        <v>7</v>
      </c>
      <c r="X8" s="71">
        <v>81.2</v>
      </c>
      <c r="Y8" s="30">
        <v>770895.9</v>
      </c>
      <c r="Z8" s="249"/>
    </row>
    <row r="9" spans="1:26" ht="23.25" thickBot="1" x14ac:dyDescent="0.3">
      <c r="A9" s="250" t="s">
        <v>331</v>
      </c>
      <c r="B9" s="251">
        <v>2891</v>
      </c>
      <c r="C9" s="251">
        <v>2891</v>
      </c>
      <c r="D9" s="71">
        <v>289.10000000000002</v>
      </c>
      <c r="E9" s="71">
        <v>8</v>
      </c>
      <c r="F9" s="71">
        <v>135.19999999999999</v>
      </c>
      <c r="G9" s="71">
        <v>2</v>
      </c>
      <c r="H9" s="71">
        <v>4.8</v>
      </c>
      <c r="I9" s="71">
        <v>0</v>
      </c>
      <c r="J9" s="71">
        <v>0</v>
      </c>
      <c r="K9" s="71">
        <v>0</v>
      </c>
      <c r="L9" s="71">
        <v>0</v>
      </c>
      <c r="M9" s="71">
        <v>0</v>
      </c>
      <c r="N9" s="71">
        <v>0</v>
      </c>
      <c r="O9" s="71">
        <v>0</v>
      </c>
      <c r="P9" s="71">
        <v>0</v>
      </c>
      <c r="Q9" s="71">
        <v>0</v>
      </c>
      <c r="R9" s="71">
        <v>0</v>
      </c>
      <c r="S9" s="71">
        <v>0</v>
      </c>
      <c r="T9" s="71">
        <v>0</v>
      </c>
      <c r="U9" s="71">
        <v>8</v>
      </c>
      <c r="V9" s="71">
        <v>4.2</v>
      </c>
      <c r="W9" s="71">
        <v>2</v>
      </c>
      <c r="X9" s="71">
        <v>6.8</v>
      </c>
      <c r="Y9" s="30">
        <v>311078.3</v>
      </c>
      <c r="Z9" s="249"/>
    </row>
    <row r="10" spans="1:26" ht="45.75" thickBot="1" x14ac:dyDescent="0.3">
      <c r="A10" s="250" t="s">
        <v>332</v>
      </c>
      <c r="B10" s="252">
        <v>616</v>
      </c>
      <c r="C10" s="252">
        <v>616</v>
      </c>
      <c r="D10" s="71">
        <v>184.8</v>
      </c>
      <c r="E10" s="71">
        <v>2</v>
      </c>
      <c r="F10" s="71">
        <v>36</v>
      </c>
      <c r="G10" s="71">
        <v>0</v>
      </c>
      <c r="H10" s="71">
        <v>0</v>
      </c>
      <c r="I10" s="71">
        <v>0</v>
      </c>
      <c r="J10" s="71">
        <v>0</v>
      </c>
      <c r="K10" s="71">
        <v>0</v>
      </c>
      <c r="L10" s="71">
        <v>0</v>
      </c>
      <c r="M10" s="71">
        <v>0</v>
      </c>
      <c r="N10" s="71">
        <v>0</v>
      </c>
      <c r="O10" s="71">
        <v>0</v>
      </c>
      <c r="P10" s="71">
        <v>0</v>
      </c>
      <c r="Q10" s="71">
        <v>0</v>
      </c>
      <c r="R10" s="71">
        <v>0</v>
      </c>
      <c r="S10" s="71">
        <v>0</v>
      </c>
      <c r="T10" s="71">
        <v>0</v>
      </c>
      <c r="U10" s="71">
        <v>65</v>
      </c>
      <c r="V10" s="71">
        <v>38.4</v>
      </c>
      <c r="W10" s="71">
        <v>0</v>
      </c>
      <c r="X10" s="71">
        <v>0</v>
      </c>
      <c r="Y10" s="30">
        <v>201244.21</v>
      </c>
      <c r="Z10" s="249"/>
    </row>
    <row r="11" spans="1:26" ht="34.5" thickBot="1" x14ac:dyDescent="0.3">
      <c r="A11" s="253" t="s">
        <v>333</v>
      </c>
      <c r="B11" s="252">
        <v>648</v>
      </c>
      <c r="C11" s="252">
        <v>648</v>
      </c>
      <c r="D11" s="71">
        <v>64.8</v>
      </c>
      <c r="E11" s="71">
        <v>3</v>
      </c>
      <c r="F11" s="71">
        <v>42</v>
      </c>
      <c r="G11" s="252">
        <v>1</v>
      </c>
      <c r="H11" s="71">
        <v>2.4</v>
      </c>
      <c r="I11" s="71">
        <v>0</v>
      </c>
      <c r="J11" s="71">
        <v>0</v>
      </c>
      <c r="K11" s="71">
        <v>0</v>
      </c>
      <c r="L11" s="71">
        <v>0</v>
      </c>
      <c r="M11" s="71">
        <v>2</v>
      </c>
      <c r="N11" s="71">
        <v>1.6</v>
      </c>
      <c r="O11" s="71">
        <v>0</v>
      </c>
      <c r="P11" s="71">
        <v>0</v>
      </c>
      <c r="Q11" s="71">
        <v>0</v>
      </c>
      <c r="R11" s="71">
        <v>0</v>
      </c>
      <c r="S11" s="71">
        <v>0</v>
      </c>
      <c r="T11" s="71">
        <v>0</v>
      </c>
      <c r="U11" s="71">
        <v>0</v>
      </c>
      <c r="V11" s="71">
        <v>0</v>
      </c>
      <c r="W11" s="71">
        <v>0</v>
      </c>
      <c r="X11" s="71">
        <v>0</v>
      </c>
      <c r="Y11" s="30">
        <v>77577.98</v>
      </c>
      <c r="Z11" s="249"/>
    </row>
    <row r="12" spans="1:26" ht="102" thickBot="1" x14ac:dyDescent="0.3">
      <c r="A12" s="250" t="s">
        <v>334</v>
      </c>
      <c r="B12" s="252">
        <v>237</v>
      </c>
      <c r="C12" s="252">
        <v>237</v>
      </c>
      <c r="D12" s="71">
        <v>23.7</v>
      </c>
      <c r="E12" s="71">
        <v>4</v>
      </c>
      <c r="F12" s="71">
        <v>73.2</v>
      </c>
      <c r="G12" s="252">
        <v>1</v>
      </c>
      <c r="H12" s="71">
        <v>2.4</v>
      </c>
      <c r="I12" s="71">
        <v>0</v>
      </c>
      <c r="J12" s="71">
        <v>0</v>
      </c>
      <c r="K12" s="71">
        <v>0</v>
      </c>
      <c r="L12" s="71">
        <v>0</v>
      </c>
      <c r="M12" s="71">
        <v>0</v>
      </c>
      <c r="N12" s="71">
        <v>0</v>
      </c>
      <c r="O12" s="71">
        <v>0</v>
      </c>
      <c r="P12" s="71">
        <v>0</v>
      </c>
      <c r="Q12" s="71">
        <v>0</v>
      </c>
      <c r="R12" s="71">
        <v>0</v>
      </c>
      <c r="S12" s="71">
        <v>0</v>
      </c>
      <c r="T12" s="71">
        <v>0</v>
      </c>
      <c r="U12" s="71">
        <v>0</v>
      </c>
      <c r="V12" s="71">
        <v>0</v>
      </c>
      <c r="W12" s="71">
        <v>0</v>
      </c>
      <c r="X12" s="71">
        <v>0</v>
      </c>
      <c r="Y12" s="30">
        <v>73756.490000000005</v>
      </c>
      <c r="Z12" s="249"/>
    </row>
    <row r="13" spans="1:26" ht="16.5" thickBot="1" x14ac:dyDescent="0.3">
      <c r="A13" s="250" t="s">
        <v>335</v>
      </c>
      <c r="B13" s="252">
        <v>258</v>
      </c>
      <c r="C13" s="71">
        <v>0</v>
      </c>
      <c r="D13" s="71">
        <v>0</v>
      </c>
      <c r="E13" s="71">
        <v>1</v>
      </c>
      <c r="F13" s="71">
        <v>8</v>
      </c>
      <c r="G13" s="71">
        <v>0</v>
      </c>
      <c r="H13" s="71">
        <v>0</v>
      </c>
      <c r="I13" s="71">
        <v>0</v>
      </c>
      <c r="J13" s="71">
        <v>0</v>
      </c>
      <c r="K13" s="71">
        <v>0</v>
      </c>
      <c r="L13" s="71">
        <v>0</v>
      </c>
      <c r="M13" s="71">
        <v>0</v>
      </c>
      <c r="N13" s="71">
        <v>0</v>
      </c>
      <c r="O13" s="71">
        <v>0</v>
      </c>
      <c r="P13" s="71">
        <v>0</v>
      </c>
      <c r="Q13" s="71">
        <v>0</v>
      </c>
      <c r="R13" s="71">
        <v>0</v>
      </c>
      <c r="S13" s="71">
        <v>0</v>
      </c>
      <c r="T13" s="71">
        <v>0</v>
      </c>
      <c r="U13" s="71">
        <v>0</v>
      </c>
      <c r="V13" s="71">
        <v>0</v>
      </c>
      <c r="W13" s="71">
        <v>2</v>
      </c>
      <c r="X13" s="71">
        <v>6.4</v>
      </c>
      <c r="Y13" s="30">
        <v>19959.259999999998</v>
      </c>
      <c r="Z13" s="249"/>
    </row>
    <row r="14" spans="1:26" ht="23.25" thickBot="1" x14ac:dyDescent="0.3">
      <c r="A14" s="250" t="s">
        <v>152</v>
      </c>
      <c r="B14" s="252">
        <v>158</v>
      </c>
      <c r="C14" s="71">
        <v>0</v>
      </c>
      <c r="D14" s="71">
        <v>0</v>
      </c>
      <c r="E14" s="71">
        <v>3</v>
      </c>
      <c r="F14" s="71">
        <v>48.8</v>
      </c>
      <c r="G14" s="71">
        <v>0</v>
      </c>
      <c r="H14" s="71">
        <v>0</v>
      </c>
      <c r="I14" s="71">
        <v>0</v>
      </c>
      <c r="J14" s="71">
        <v>0</v>
      </c>
      <c r="K14" s="71">
        <v>0</v>
      </c>
      <c r="L14" s="71">
        <v>0</v>
      </c>
      <c r="M14" s="71">
        <v>0</v>
      </c>
      <c r="N14" s="71">
        <v>0</v>
      </c>
      <c r="O14" s="71">
        <v>0</v>
      </c>
      <c r="P14" s="71">
        <v>0</v>
      </c>
      <c r="Q14" s="71">
        <v>0</v>
      </c>
      <c r="R14" s="71">
        <v>0</v>
      </c>
      <c r="S14" s="71">
        <v>0</v>
      </c>
      <c r="T14" s="71">
        <v>0</v>
      </c>
      <c r="U14" s="71">
        <v>21</v>
      </c>
      <c r="V14" s="71">
        <v>12</v>
      </c>
      <c r="W14" s="71">
        <v>2</v>
      </c>
      <c r="X14" s="71">
        <v>9.6</v>
      </c>
      <c r="Y14" s="30">
        <v>75681.509999999995</v>
      </c>
      <c r="Z14" s="249"/>
    </row>
    <row r="15" spans="1:26" ht="23.25" thickBot="1" x14ac:dyDescent="0.3">
      <c r="A15" s="250" t="s">
        <v>336</v>
      </c>
      <c r="B15" s="252">
        <v>579</v>
      </c>
      <c r="C15" s="252">
        <v>579</v>
      </c>
      <c r="D15" s="71">
        <v>57.9</v>
      </c>
      <c r="E15" s="71">
        <v>3</v>
      </c>
      <c r="F15" s="71">
        <v>36</v>
      </c>
      <c r="G15" s="71">
        <v>0</v>
      </c>
      <c r="H15" s="71">
        <v>0</v>
      </c>
      <c r="I15" s="71">
        <v>0</v>
      </c>
      <c r="J15" s="71">
        <v>0</v>
      </c>
      <c r="K15" s="71">
        <v>0</v>
      </c>
      <c r="L15" s="71">
        <v>0</v>
      </c>
      <c r="M15" s="71">
        <v>0</v>
      </c>
      <c r="N15" s="71">
        <v>0</v>
      </c>
      <c r="O15" s="71">
        <v>0</v>
      </c>
      <c r="P15" s="71">
        <v>0</v>
      </c>
      <c r="Q15" s="71">
        <v>0</v>
      </c>
      <c r="R15" s="71">
        <v>0</v>
      </c>
      <c r="S15" s="71">
        <v>0</v>
      </c>
      <c r="T15" s="71">
        <v>0</v>
      </c>
      <c r="U15" s="71">
        <v>46</v>
      </c>
      <c r="V15" s="71">
        <v>27</v>
      </c>
      <c r="W15" s="71">
        <v>2</v>
      </c>
      <c r="X15" s="71">
        <v>9.6</v>
      </c>
      <c r="Y15" s="30">
        <v>108767.39</v>
      </c>
      <c r="Z15" s="249"/>
    </row>
    <row r="16" spans="1:26" ht="23.25" thickBot="1" x14ac:dyDescent="0.3">
      <c r="A16" s="250" t="s">
        <v>105</v>
      </c>
      <c r="B16" s="252">
        <v>588</v>
      </c>
      <c r="C16" s="252">
        <v>588</v>
      </c>
      <c r="D16" s="71">
        <v>58.8</v>
      </c>
      <c r="E16" s="71">
        <v>4</v>
      </c>
      <c r="F16" s="71">
        <v>64</v>
      </c>
      <c r="G16" s="71">
        <v>0</v>
      </c>
      <c r="H16" s="71">
        <v>0</v>
      </c>
      <c r="I16" s="71">
        <v>0</v>
      </c>
      <c r="J16" s="71">
        <v>0</v>
      </c>
      <c r="K16" s="71">
        <v>0</v>
      </c>
      <c r="L16" s="71">
        <v>0</v>
      </c>
      <c r="M16" s="71">
        <v>0</v>
      </c>
      <c r="N16" s="71">
        <v>0</v>
      </c>
      <c r="O16" s="71">
        <v>0</v>
      </c>
      <c r="P16" s="71">
        <v>0</v>
      </c>
      <c r="Q16" s="71">
        <v>0</v>
      </c>
      <c r="R16" s="71">
        <v>0</v>
      </c>
      <c r="S16" s="71">
        <v>0</v>
      </c>
      <c r="T16" s="71">
        <v>0</v>
      </c>
      <c r="U16" s="71">
        <v>57</v>
      </c>
      <c r="V16" s="71">
        <v>33.6</v>
      </c>
      <c r="W16" s="71">
        <v>0</v>
      </c>
      <c r="X16" s="71">
        <v>0</v>
      </c>
      <c r="Y16" s="30">
        <v>135974.57999999999</v>
      </c>
      <c r="Z16" s="249"/>
    </row>
    <row r="17" spans="1:26" ht="79.5" thickBot="1" x14ac:dyDescent="0.3">
      <c r="A17" s="250" t="s">
        <v>337</v>
      </c>
      <c r="B17" s="252">
        <v>168</v>
      </c>
      <c r="C17" s="252">
        <v>168</v>
      </c>
      <c r="D17" s="71">
        <v>16.8</v>
      </c>
      <c r="E17" s="71">
        <v>1</v>
      </c>
      <c r="F17" s="71">
        <v>18</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c r="Y17" s="30">
        <v>23659.43</v>
      </c>
      <c r="Z17" s="249"/>
    </row>
    <row r="18" spans="1:26" ht="57" thickBot="1" x14ac:dyDescent="0.3">
      <c r="A18" s="250" t="s">
        <v>338</v>
      </c>
      <c r="B18" s="252">
        <v>452</v>
      </c>
      <c r="C18" s="252">
        <v>452</v>
      </c>
      <c r="D18" s="71">
        <v>45.2</v>
      </c>
      <c r="E18" s="71">
        <v>3</v>
      </c>
      <c r="F18" s="71">
        <v>60</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2</v>
      </c>
      <c r="X18" s="71">
        <v>16</v>
      </c>
      <c r="Y18" s="30">
        <v>107365.43</v>
      </c>
      <c r="Z18" s="249"/>
    </row>
    <row r="19" spans="1:26" ht="34.5" thickBot="1" x14ac:dyDescent="0.3">
      <c r="A19" s="250" t="s">
        <v>339</v>
      </c>
      <c r="B19" s="252">
        <v>440</v>
      </c>
      <c r="C19" s="71">
        <v>0</v>
      </c>
      <c r="D19" s="71">
        <v>0</v>
      </c>
      <c r="E19" s="71">
        <v>1</v>
      </c>
      <c r="F19" s="71">
        <v>14</v>
      </c>
      <c r="G19" s="71">
        <v>0</v>
      </c>
      <c r="H19" s="71">
        <v>0</v>
      </c>
      <c r="I19" s="71">
        <v>0</v>
      </c>
      <c r="J19" s="71">
        <v>0</v>
      </c>
      <c r="K19" s="71">
        <v>0</v>
      </c>
      <c r="L19" s="71">
        <v>0</v>
      </c>
      <c r="M19" s="71">
        <v>0</v>
      </c>
      <c r="N19" s="71">
        <v>0</v>
      </c>
      <c r="O19" s="71">
        <v>0</v>
      </c>
      <c r="P19" s="71">
        <v>0</v>
      </c>
      <c r="Q19" s="71">
        <v>0</v>
      </c>
      <c r="R19" s="71">
        <v>0</v>
      </c>
      <c r="S19" s="71">
        <v>0</v>
      </c>
      <c r="T19" s="71">
        <v>0</v>
      </c>
      <c r="U19" s="71">
        <v>21</v>
      </c>
      <c r="V19" s="71">
        <v>12.6</v>
      </c>
      <c r="W19" s="71">
        <v>0</v>
      </c>
      <c r="X19" s="71">
        <v>0</v>
      </c>
      <c r="Y19" s="30">
        <v>29940.28</v>
      </c>
      <c r="Z19" s="249"/>
    </row>
    <row r="20" spans="1:26" ht="225.75" thickBot="1" x14ac:dyDescent="0.3">
      <c r="A20" s="253" t="s">
        <v>340</v>
      </c>
      <c r="B20" s="252">
        <v>484</v>
      </c>
      <c r="C20" s="71">
        <v>0</v>
      </c>
      <c r="D20" s="71">
        <v>0</v>
      </c>
      <c r="E20" s="71">
        <v>1</v>
      </c>
      <c r="F20" s="71">
        <v>14</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1</v>
      </c>
      <c r="X20" s="71">
        <v>5.6</v>
      </c>
      <c r="Y20" s="30">
        <v>22603.41</v>
      </c>
      <c r="Z20" s="249"/>
    </row>
    <row r="21" spans="1:26" ht="34.5" thickBot="1" x14ac:dyDescent="0.3">
      <c r="A21" s="254" t="s">
        <v>341</v>
      </c>
      <c r="B21" s="252">
        <v>65</v>
      </c>
      <c r="C21" s="71">
        <v>0</v>
      </c>
      <c r="D21" s="71">
        <v>0</v>
      </c>
      <c r="E21" s="71">
        <v>1</v>
      </c>
      <c r="F21" s="24">
        <v>8</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30">
        <v>5873.19</v>
      </c>
      <c r="Z21" s="249"/>
    </row>
    <row r="22" spans="1:26" ht="34.5" thickBot="1" x14ac:dyDescent="0.3">
      <c r="A22" s="254" t="s">
        <v>342</v>
      </c>
      <c r="B22" s="252">
        <v>804</v>
      </c>
      <c r="C22" s="252">
        <v>804</v>
      </c>
      <c r="D22" s="71">
        <v>241.2</v>
      </c>
      <c r="E22" s="71">
        <v>1</v>
      </c>
      <c r="F22" s="24">
        <v>9.6</v>
      </c>
      <c r="G22" s="71">
        <v>0</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30">
        <v>157004.24</v>
      </c>
      <c r="Z22" s="249"/>
    </row>
    <row r="23" spans="1:26" ht="45.75" thickBot="1" x14ac:dyDescent="0.3">
      <c r="A23" s="254" t="s">
        <v>343</v>
      </c>
      <c r="B23" s="252">
        <v>203</v>
      </c>
      <c r="C23" s="71">
        <v>0</v>
      </c>
      <c r="D23" s="71">
        <v>0</v>
      </c>
      <c r="E23" s="71">
        <v>1</v>
      </c>
      <c r="F23" s="24">
        <v>14.4</v>
      </c>
      <c r="G23" s="71">
        <v>0</v>
      </c>
      <c r="H23" s="71">
        <v>0</v>
      </c>
      <c r="I23" s="71">
        <v>0</v>
      </c>
      <c r="J23" s="71">
        <v>0</v>
      </c>
      <c r="K23" s="71">
        <v>0</v>
      </c>
      <c r="L23" s="71">
        <v>0</v>
      </c>
      <c r="M23" s="71">
        <v>0</v>
      </c>
      <c r="N23" s="71">
        <v>0</v>
      </c>
      <c r="O23" s="71">
        <v>0</v>
      </c>
      <c r="P23" s="71">
        <v>0</v>
      </c>
      <c r="Q23" s="71">
        <v>0</v>
      </c>
      <c r="R23" s="71">
        <v>0</v>
      </c>
      <c r="S23" s="71">
        <v>0</v>
      </c>
      <c r="T23" s="71">
        <v>0</v>
      </c>
      <c r="U23" s="71">
        <v>0</v>
      </c>
      <c r="V23" s="71">
        <v>0</v>
      </c>
      <c r="W23" s="71">
        <v>0</v>
      </c>
      <c r="X23" s="71">
        <v>0</v>
      </c>
      <c r="Y23" s="30">
        <v>10571.76</v>
      </c>
      <c r="Z23" s="249"/>
    </row>
    <row r="24" spans="1:26" ht="192" thickBot="1" x14ac:dyDescent="0.3">
      <c r="A24" s="253" t="s">
        <v>344</v>
      </c>
      <c r="B24" s="252">
        <v>366</v>
      </c>
      <c r="C24" s="71">
        <v>0</v>
      </c>
      <c r="D24" s="71">
        <v>0</v>
      </c>
      <c r="E24" s="71">
        <v>1</v>
      </c>
      <c r="F24" s="24">
        <v>8</v>
      </c>
      <c r="G24" s="71">
        <v>0</v>
      </c>
      <c r="H24" s="71">
        <v>0</v>
      </c>
      <c r="I24" s="71">
        <v>0</v>
      </c>
      <c r="J24" s="71">
        <v>0</v>
      </c>
      <c r="K24" s="71">
        <v>0</v>
      </c>
      <c r="L24" s="71">
        <v>0</v>
      </c>
      <c r="M24" s="71">
        <v>0</v>
      </c>
      <c r="N24" s="71">
        <v>0</v>
      </c>
      <c r="O24" s="71">
        <v>0</v>
      </c>
      <c r="P24" s="71">
        <v>0</v>
      </c>
      <c r="Q24" s="71">
        <v>0</v>
      </c>
      <c r="R24" s="71">
        <v>0</v>
      </c>
      <c r="S24" s="71">
        <v>0</v>
      </c>
      <c r="T24" s="71">
        <v>0</v>
      </c>
      <c r="U24" s="71">
        <v>0</v>
      </c>
      <c r="V24" s="71">
        <v>0</v>
      </c>
      <c r="W24" s="71">
        <v>0</v>
      </c>
      <c r="X24" s="71">
        <v>0</v>
      </c>
      <c r="Y24" s="30">
        <v>5873.19</v>
      </c>
      <c r="Z24" s="249"/>
    </row>
    <row r="25" spans="1:26" ht="158.25" thickBot="1" x14ac:dyDescent="0.3">
      <c r="A25" s="253" t="s">
        <v>345</v>
      </c>
      <c r="B25" s="252">
        <v>193</v>
      </c>
      <c r="C25" s="71">
        <v>0</v>
      </c>
      <c r="D25" s="71">
        <v>0</v>
      </c>
      <c r="E25" s="71">
        <v>1</v>
      </c>
      <c r="F25" s="24">
        <v>9.6</v>
      </c>
      <c r="G25" s="71">
        <v>0</v>
      </c>
      <c r="H25" s="71">
        <v>0</v>
      </c>
      <c r="I25" s="71">
        <v>0</v>
      </c>
      <c r="J25" s="71">
        <v>0</v>
      </c>
      <c r="K25" s="71">
        <v>0</v>
      </c>
      <c r="L25" s="71">
        <v>0</v>
      </c>
      <c r="M25" s="71">
        <v>0</v>
      </c>
      <c r="N25" s="71">
        <v>0</v>
      </c>
      <c r="O25" s="71">
        <v>0</v>
      </c>
      <c r="P25" s="71">
        <v>0</v>
      </c>
      <c r="Q25" s="71">
        <v>0</v>
      </c>
      <c r="R25" s="71">
        <v>0</v>
      </c>
      <c r="S25" s="71">
        <v>0</v>
      </c>
      <c r="T25" s="71">
        <v>0</v>
      </c>
      <c r="U25" s="71">
        <v>0</v>
      </c>
      <c r="V25" s="71">
        <v>0</v>
      </c>
      <c r="W25" s="71">
        <v>0</v>
      </c>
      <c r="X25" s="71">
        <v>0</v>
      </c>
      <c r="Y25" s="30">
        <v>7047.84</v>
      </c>
      <c r="Z25" s="249"/>
    </row>
    <row r="26" spans="1:26" ht="57" thickBot="1" x14ac:dyDescent="0.3">
      <c r="A26" s="254" t="s">
        <v>346</v>
      </c>
      <c r="B26" s="252">
        <v>85</v>
      </c>
      <c r="C26" s="71">
        <v>0</v>
      </c>
      <c r="D26" s="71">
        <v>0</v>
      </c>
      <c r="E26" s="71">
        <v>1</v>
      </c>
      <c r="F26" s="24">
        <v>11.2</v>
      </c>
      <c r="G26" s="71">
        <v>0</v>
      </c>
      <c r="H26" s="71">
        <v>0</v>
      </c>
      <c r="I26" s="71">
        <v>0</v>
      </c>
      <c r="J26" s="71">
        <v>0</v>
      </c>
      <c r="K26" s="71">
        <v>0</v>
      </c>
      <c r="L26" s="71">
        <v>0</v>
      </c>
      <c r="M26" s="71">
        <v>0</v>
      </c>
      <c r="N26" s="71">
        <v>0</v>
      </c>
      <c r="O26" s="71">
        <v>0</v>
      </c>
      <c r="P26" s="71">
        <v>0</v>
      </c>
      <c r="Q26" s="71">
        <v>0</v>
      </c>
      <c r="R26" s="71">
        <v>0</v>
      </c>
      <c r="S26" s="71">
        <v>0</v>
      </c>
      <c r="T26" s="71">
        <v>0</v>
      </c>
      <c r="U26" s="71">
        <v>0</v>
      </c>
      <c r="V26" s="71">
        <v>0</v>
      </c>
      <c r="W26" s="71">
        <v>0</v>
      </c>
      <c r="X26" s="71">
        <v>0</v>
      </c>
      <c r="Y26" s="30">
        <v>8222.4699999999993</v>
      </c>
      <c r="Z26" s="249"/>
    </row>
    <row r="27" spans="1:26" ht="23.25" thickBot="1" x14ac:dyDescent="0.3">
      <c r="A27" s="250" t="s">
        <v>113</v>
      </c>
      <c r="B27" s="252">
        <v>581</v>
      </c>
      <c r="C27" s="252">
        <v>581</v>
      </c>
      <c r="D27" s="71">
        <v>58.1</v>
      </c>
      <c r="E27" s="71">
        <v>0</v>
      </c>
      <c r="F27" s="71">
        <v>0</v>
      </c>
      <c r="G27" s="71">
        <v>0</v>
      </c>
      <c r="H27" s="71">
        <v>0</v>
      </c>
      <c r="I27" s="71">
        <v>0</v>
      </c>
      <c r="J27" s="71">
        <v>0</v>
      </c>
      <c r="K27" s="71">
        <v>0</v>
      </c>
      <c r="L27" s="71">
        <v>0</v>
      </c>
      <c r="M27" s="71">
        <v>0</v>
      </c>
      <c r="N27" s="71">
        <v>0</v>
      </c>
      <c r="O27" s="71">
        <v>0</v>
      </c>
      <c r="P27" s="71">
        <v>0</v>
      </c>
      <c r="Q27" s="71">
        <v>0</v>
      </c>
      <c r="R27" s="71">
        <v>0</v>
      </c>
      <c r="S27" s="71">
        <v>0</v>
      </c>
      <c r="T27" s="71">
        <v>0</v>
      </c>
      <c r="U27" s="71">
        <v>112</v>
      </c>
      <c r="V27" s="71">
        <v>66.599999999999994</v>
      </c>
      <c r="W27" s="71">
        <v>0</v>
      </c>
      <c r="X27" s="71">
        <v>0</v>
      </c>
      <c r="Y27" s="30">
        <v>140050.04</v>
      </c>
      <c r="Z27" s="249"/>
    </row>
    <row r="28" spans="1:26" ht="23.25" thickBot="1" x14ac:dyDescent="0.3">
      <c r="A28" s="250" t="s">
        <v>347</v>
      </c>
      <c r="B28" s="252">
        <v>254</v>
      </c>
      <c r="C28" s="252">
        <v>254</v>
      </c>
      <c r="D28" s="71">
        <v>25.4</v>
      </c>
      <c r="E28" s="71">
        <v>0</v>
      </c>
      <c r="F28" s="71">
        <v>0</v>
      </c>
      <c r="G28" s="71">
        <v>0</v>
      </c>
      <c r="H28" s="71">
        <v>0</v>
      </c>
      <c r="I28" s="71">
        <v>0</v>
      </c>
      <c r="J28" s="71">
        <v>0</v>
      </c>
      <c r="K28" s="71">
        <v>0</v>
      </c>
      <c r="L28" s="71">
        <v>0</v>
      </c>
      <c r="M28" s="71">
        <v>0</v>
      </c>
      <c r="N28" s="71">
        <v>0</v>
      </c>
      <c r="O28" s="71">
        <v>0</v>
      </c>
      <c r="P28" s="71">
        <v>0</v>
      </c>
      <c r="Q28" s="71">
        <v>0</v>
      </c>
      <c r="R28" s="71">
        <v>0</v>
      </c>
      <c r="S28" s="71">
        <v>0</v>
      </c>
      <c r="T28" s="71">
        <v>0</v>
      </c>
      <c r="U28" s="71">
        <v>0</v>
      </c>
      <c r="V28" s="71">
        <v>0</v>
      </c>
      <c r="W28" s="71">
        <v>0</v>
      </c>
      <c r="X28" s="71">
        <v>0</v>
      </c>
      <c r="Y28" s="30">
        <v>15791.42</v>
      </c>
      <c r="Z28" s="249"/>
    </row>
    <row r="29" spans="1:26" ht="23.25" thickBot="1" x14ac:dyDescent="0.3">
      <c r="A29" s="250" t="s">
        <v>348</v>
      </c>
      <c r="B29" s="252">
        <v>170</v>
      </c>
      <c r="C29" s="252">
        <v>170</v>
      </c>
      <c r="D29" s="71">
        <v>17</v>
      </c>
      <c r="E29" s="252">
        <v>2</v>
      </c>
      <c r="F29" s="252">
        <v>16</v>
      </c>
      <c r="G29" s="71">
        <v>0</v>
      </c>
      <c r="H29" s="71">
        <v>0</v>
      </c>
      <c r="I29" s="71">
        <v>0</v>
      </c>
      <c r="J29" s="71">
        <v>0</v>
      </c>
      <c r="K29" s="71">
        <v>0</v>
      </c>
      <c r="L29" s="71">
        <v>0</v>
      </c>
      <c r="M29" s="71">
        <v>0</v>
      </c>
      <c r="N29" s="71">
        <v>0</v>
      </c>
      <c r="O29" s="71">
        <v>0</v>
      </c>
      <c r="P29" s="71">
        <v>0</v>
      </c>
      <c r="Q29" s="71">
        <v>0</v>
      </c>
      <c r="R29" s="71">
        <v>0</v>
      </c>
      <c r="S29" s="71">
        <v>0</v>
      </c>
      <c r="T29" s="71">
        <v>0</v>
      </c>
      <c r="U29" s="71">
        <v>4</v>
      </c>
      <c r="V29" s="71">
        <v>2.4</v>
      </c>
      <c r="W29" s="71">
        <v>0</v>
      </c>
      <c r="X29" s="71">
        <v>0</v>
      </c>
      <c r="Y29" s="30">
        <v>26060.65</v>
      </c>
      <c r="Z29" s="249"/>
    </row>
    <row r="30" spans="1:26" ht="23.25" thickBot="1" x14ac:dyDescent="0.3">
      <c r="A30" s="250" t="s">
        <v>349</v>
      </c>
      <c r="B30" s="252">
        <v>915</v>
      </c>
      <c r="C30" s="252">
        <v>915</v>
      </c>
      <c r="D30" s="71">
        <v>91.5</v>
      </c>
      <c r="E30" s="71">
        <v>0</v>
      </c>
      <c r="F30" s="71">
        <v>0</v>
      </c>
      <c r="G30" s="71">
        <v>1</v>
      </c>
      <c r="H30" s="71">
        <v>2.4</v>
      </c>
      <c r="I30" s="71">
        <v>0</v>
      </c>
      <c r="J30" s="71">
        <v>0</v>
      </c>
      <c r="K30" s="71">
        <v>0</v>
      </c>
      <c r="L30" s="71">
        <v>0</v>
      </c>
      <c r="M30" s="71">
        <v>0</v>
      </c>
      <c r="N30" s="71">
        <v>0</v>
      </c>
      <c r="O30" s="71">
        <v>0</v>
      </c>
      <c r="P30" s="71">
        <v>0</v>
      </c>
      <c r="Q30" s="71">
        <v>0</v>
      </c>
      <c r="R30" s="71">
        <v>0</v>
      </c>
      <c r="S30" s="71">
        <v>0</v>
      </c>
      <c r="T30" s="71">
        <v>0</v>
      </c>
      <c r="U30" s="71">
        <v>0</v>
      </c>
      <c r="V30" s="71">
        <v>0</v>
      </c>
      <c r="W30" s="71">
        <v>0</v>
      </c>
      <c r="X30" s="71">
        <v>0</v>
      </c>
      <c r="Y30" s="30">
        <v>81830.899999999994</v>
      </c>
      <c r="Z30" s="249"/>
    </row>
    <row r="31" spans="1:26" ht="45.75" thickBot="1" x14ac:dyDescent="0.3">
      <c r="A31" s="250" t="s">
        <v>350</v>
      </c>
      <c r="B31" s="251">
        <v>1681</v>
      </c>
      <c r="C31" s="251">
        <v>1681</v>
      </c>
      <c r="D31" s="71">
        <v>168.1</v>
      </c>
      <c r="E31" s="71">
        <v>0</v>
      </c>
      <c r="F31" s="71">
        <v>0</v>
      </c>
      <c r="G31" s="71">
        <v>0</v>
      </c>
      <c r="H31" s="71">
        <v>0</v>
      </c>
      <c r="I31" s="71">
        <v>0</v>
      </c>
      <c r="J31" s="71">
        <v>0</v>
      </c>
      <c r="K31" s="71">
        <v>0</v>
      </c>
      <c r="L31" s="71">
        <v>0</v>
      </c>
      <c r="M31" s="71">
        <v>0</v>
      </c>
      <c r="N31" s="71">
        <v>0</v>
      </c>
      <c r="O31" s="71">
        <v>0</v>
      </c>
      <c r="P31" s="71">
        <v>0</v>
      </c>
      <c r="Q31" s="71">
        <v>0</v>
      </c>
      <c r="R31" s="71">
        <v>0</v>
      </c>
      <c r="S31" s="71">
        <v>0</v>
      </c>
      <c r="T31" s="71">
        <v>0</v>
      </c>
      <c r="U31" s="71">
        <v>0</v>
      </c>
      <c r="V31" s="71">
        <v>0</v>
      </c>
      <c r="W31" s="71">
        <v>0</v>
      </c>
      <c r="X31" s="71">
        <v>0</v>
      </c>
      <c r="Y31" s="30">
        <v>104509.42</v>
      </c>
      <c r="Z31" s="249"/>
    </row>
    <row r="32" spans="1:26" ht="158.25" thickBot="1" x14ac:dyDescent="0.3">
      <c r="A32" s="250" t="s">
        <v>351</v>
      </c>
      <c r="B32" s="252">
        <v>834</v>
      </c>
      <c r="C32" s="252">
        <v>834</v>
      </c>
      <c r="D32" s="71">
        <v>83.4</v>
      </c>
      <c r="E32" s="71">
        <v>1</v>
      </c>
      <c r="F32" s="24">
        <v>8</v>
      </c>
      <c r="G32" s="71">
        <v>0</v>
      </c>
      <c r="H32" s="71">
        <v>0</v>
      </c>
      <c r="I32" s="71">
        <v>0</v>
      </c>
      <c r="J32" s="71">
        <v>0</v>
      </c>
      <c r="K32" s="71">
        <v>0</v>
      </c>
      <c r="L32" s="71">
        <v>0</v>
      </c>
      <c r="M32" s="71">
        <v>0</v>
      </c>
      <c r="N32" s="71">
        <v>0</v>
      </c>
      <c r="O32" s="71">
        <v>0</v>
      </c>
      <c r="P32" s="71">
        <v>0</v>
      </c>
      <c r="Q32" s="71">
        <v>0</v>
      </c>
      <c r="R32" s="71">
        <v>0</v>
      </c>
      <c r="S32" s="71">
        <v>0</v>
      </c>
      <c r="T32" s="71">
        <v>0</v>
      </c>
      <c r="U32" s="71">
        <v>16</v>
      </c>
      <c r="V32" s="71">
        <v>9.6</v>
      </c>
      <c r="W32" s="71">
        <v>0</v>
      </c>
      <c r="X32" s="71">
        <v>0</v>
      </c>
      <c r="Y32" s="30">
        <v>72704.5</v>
      </c>
      <c r="Z32" s="249"/>
    </row>
    <row r="33" spans="1:26" ht="23.25" thickBot="1" x14ac:dyDescent="0.3">
      <c r="A33" s="250" t="s">
        <v>153</v>
      </c>
      <c r="B33" s="252">
        <v>283</v>
      </c>
      <c r="C33" s="252">
        <v>283</v>
      </c>
      <c r="D33" s="71">
        <v>28.3</v>
      </c>
      <c r="E33" s="71">
        <v>0</v>
      </c>
      <c r="F33" s="71">
        <v>0</v>
      </c>
      <c r="G33" s="71">
        <v>0</v>
      </c>
      <c r="H33" s="71">
        <v>0</v>
      </c>
      <c r="I33" s="71">
        <v>0</v>
      </c>
      <c r="J33" s="71">
        <v>0</v>
      </c>
      <c r="K33" s="71">
        <v>0</v>
      </c>
      <c r="L33" s="71">
        <v>0</v>
      </c>
      <c r="M33" s="71">
        <v>0</v>
      </c>
      <c r="N33" s="71">
        <v>0</v>
      </c>
      <c r="O33" s="71">
        <v>0</v>
      </c>
      <c r="P33" s="71">
        <v>0</v>
      </c>
      <c r="Q33" s="71">
        <v>0</v>
      </c>
      <c r="R33" s="71">
        <v>0</v>
      </c>
      <c r="S33" s="71">
        <v>0</v>
      </c>
      <c r="T33" s="71">
        <v>0</v>
      </c>
      <c r="U33" s="71">
        <v>0</v>
      </c>
      <c r="V33" s="71">
        <v>0</v>
      </c>
      <c r="W33" s="71">
        <v>0</v>
      </c>
      <c r="X33" s="71">
        <v>0</v>
      </c>
      <c r="Y33" s="30">
        <v>17594.39</v>
      </c>
      <c r="Z33" s="249"/>
    </row>
    <row r="34" spans="1:26" ht="23.25" thickBot="1" x14ac:dyDescent="0.3">
      <c r="A34" s="250" t="s">
        <v>352</v>
      </c>
      <c r="B34" s="252">
        <v>163</v>
      </c>
      <c r="C34" s="252">
        <v>163</v>
      </c>
      <c r="D34" s="71">
        <v>16.3</v>
      </c>
      <c r="E34" s="71">
        <v>0</v>
      </c>
      <c r="F34" s="71">
        <v>0</v>
      </c>
      <c r="G34" s="71">
        <v>4</v>
      </c>
      <c r="H34" s="71">
        <v>9.6</v>
      </c>
      <c r="I34" s="71">
        <v>0</v>
      </c>
      <c r="J34" s="71">
        <v>0</v>
      </c>
      <c r="K34" s="71">
        <v>0</v>
      </c>
      <c r="L34" s="71">
        <v>0</v>
      </c>
      <c r="M34" s="71">
        <v>0</v>
      </c>
      <c r="N34" s="71">
        <v>0</v>
      </c>
      <c r="O34" s="71">
        <v>0</v>
      </c>
      <c r="P34" s="71">
        <v>0</v>
      </c>
      <c r="Q34" s="71">
        <v>0</v>
      </c>
      <c r="R34" s="71">
        <v>0</v>
      </c>
      <c r="S34" s="71">
        <v>0</v>
      </c>
      <c r="T34" s="71">
        <v>0</v>
      </c>
      <c r="U34" s="71">
        <v>0</v>
      </c>
      <c r="V34" s="71">
        <v>0</v>
      </c>
      <c r="W34" s="71">
        <v>0</v>
      </c>
      <c r="X34" s="71">
        <v>0</v>
      </c>
      <c r="Y34" s="30">
        <v>31263.02</v>
      </c>
      <c r="Z34" s="249"/>
    </row>
    <row r="35" spans="1:26" ht="68.25" thickBot="1" x14ac:dyDescent="0.3">
      <c r="A35" s="250" t="s">
        <v>353</v>
      </c>
      <c r="B35" s="252">
        <v>67</v>
      </c>
      <c r="C35" s="252">
        <v>0</v>
      </c>
      <c r="D35" s="71">
        <v>0</v>
      </c>
      <c r="E35" s="71">
        <v>0</v>
      </c>
      <c r="F35" s="71">
        <v>0</v>
      </c>
      <c r="G35" s="71">
        <v>2</v>
      </c>
      <c r="H35" s="71">
        <v>4.8</v>
      </c>
      <c r="I35" s="71">
        <v>0</v>
      </c>
      <c r="J35" s="71">
        <v>0</v>
      </c>
      <c r="K35" s="71">
        <v>0</v>
      </c>
      <c r="L35" s="71">
        <v>0</v>
      </c>
      <c r="M35" s="71">
        <v>0</v>
      </c>
      <c r="N35" s="71">
        <v>0</v>
      </c>
      <c r="O35" s="71">
        <v>0</v>
      </c>
      <c r="P35" s="71">
        <v>0</v>
      </c>
      <c r="Q35" s="71">
        <v>0</v>
      </c>
      <c r="R35" s="71">
        <v>0</v>
      </c>
      <c r="S35" s="71">
        <v>0</v>
      </c>
      <c r="T35" s="71">
        <v>0</v>
      </c>
      <c r="U35" s="71">
        <v>0</v>
      </c>
      <c r="V35" s="71">
        <v>0</v>
      </c>
      <c r="W35" s="71">
        <v>0</v>
      </c>
      <c r="X35" s="71">
        <v>0</v>
      </c>
      <c r="Y35" s="30">
        <v>10564.57</v>
      </c>
      <c r="Z35" s="249"/>
    </row>
    <row r="36" spans="1:26" ht="23.25" thickBot="1" x14ac:dyDescent="0.3">
      <c r="A36" s="255" t="s">
        <v>354</v>
      </c>
      <c r="B36" s="256">
        <v>373</v>
      </c>
      <c r="C36" s="256">
        <v>373</v>
      </c>
      <c r="D36" s="257">
        <v>37.299999999999997</v>
      </c>
      <c r="E36" s="257">
        <v>0</v>
      </c>
      <c r="F36" s="257">
        <v>0</v>
      </c>
      <c r="G36" s="257">
        <v>0</v>
      </c>
      <c r="H36" s="257">
        <v>0</v>
      </c>
      <c r="I36" s="257">
        <v>0</v>
      </c>
      <c r="J36" s="257">
        <v>0</v>
      </c>
      <c r="K36" s="257">
        <v>0</v>
      </c>
      <c r="L36" s="257">
        <v>0</v>
      </c>
      <c r="M36" s="257">
        <v>0</v>
      </c>
      <c r="N36" s="257">
        <v>0</v>
      </c>
      <c r="O36" s="257">
        <v>0</v>
      </c>
      <c r="P36" s="257">
        <v>0</v>
      </c>
      <c r="Q36" s="257">
        <v>0</v>
      </c>
      <c r="R36" s="257">
        <v>0</v>
      </c>
      <c r="S36" s="257">
        <v>0</v>
      </c>
      <c r="T36" s="257">
        <v>0</v>
      </c>
      <c r="U36" s="257">
        <v>26</v>
      </c>
      <c r="V36" s="257">
        <v>15</v>
      </c>
      <c r="W36" s="257">
        <v>0</v>
      </c>
      <c r="X36" s="257">
        <v>0</v>
      </c>
      <c r="Y36" s="30">
        <v>46597.120000000003</v>
      </c>
      <c r="Z36" s="249"/>
    </row>
    <row r="37" spans="1:26" ht="23.25" thickBot="1" x14ac:dyDescent="0.3">
      <c r="A37" s="255" t="s">
        <v>355</v>
      </c>
      <c r="B37" s="257">
        <v>0</v>
      </c>
      <c r="C37" s="257">
        <v>0</v>
      </c>
      <c r="D37" s="257">
        <v>44.6</v>
      </c>
      <c r="E37" s="257">
        <v>0</v>
      </c>
      <c r="F37" s="257">
        <v>0</v>
      </c>
      <c r="G37" s="257">
        <v>0</v>
      </c>
      <c r="H37" s="257">
        <v>0</v>
      </c>
      <c r="I37" s="257">
        <v>0</v>
      </c>
      <c r="J37" s="257">
        <v>0</v>
      </c>
      <c r="K37" s="257">
        <v>0</v>
      </c>
      <c r="L37" s="257">
        <v>0</v>
      </c>
      <c r="M37" s="257">
        <v>0</v>
      </c>
      <c r="N37" s="257">
        <v>0</v>
      </c>
      <c r="O37" s="257">
        <v>0</v>
      </c>
      <c r="P37" s="257">
        <v>0</v>
      </c>
      <c r="Q37" s="257">
        <v>0</v>
      </c>
      <c r="R37" s="257">
        <v>0</v>
      </c>
      <c r="S37" s="257">
        <v>0</v>
      </c>
      <c r="T37" s="257">
        <v>0</v>
      </c>
      <c r="U37" s="257">
        <v>0</v>
      </c>
      <c r="V37" s="257">
        <v>0</v>
      </c>
      <c r="W37" s="257">
        <v>0</v>
      </c>
      <c r="X37" s="257">
        <v>0</v>
      </c>
      <c r="Y37" s="30">
        <v>31691.72</v>
      </c>
      <c r="Z37" s="249"/>
    </row>
    <row r="38" spans="1:26" ht="15.75" thickBot="1" x14ac:dyDescent="0.3">
      <c r="A38" s="258" t="s">
        <v>356</v>
      </c>
      <c r="B38" s="259">
        <v>18560</v>
      </c>
      <c r="C38" s="259">
        <v>16241</v>
      </c>
      <c r="D38" s="259">
        <v>2137.1</v>
      </c>
      <c r="E38" s="258">
        <v>68</v>
      </c>
      <c r="F38" s="259">
        <v>1209.5999999999999</v>
      </c>
      <c r="G38" s="258">
        <v>30</v>
      </c>
      <c r="H38" s="258">
        <v>72</v>
      </c>
      <c r="I38" s="258">
        <v>0</v>
      </c>
      <c r="J38" s="258">
        <v>0</v>
      </c>
      <c r="K38" s="258">
        <v>0</v>
      </c>
      <c r="L38" s="258">
        <v>0</v>
      </c>
      <c r="M38" s="258">
        <v>2</v>
      </c>
      <c r="N38" s="258">
        <v>1.6</v>
      </c>
      <c r="O38" s="258">
        <v>0</v>
      </c>
      <c r="P38" s="258">
        <v>0</v>
      </c>
      <c r="Q38" s="258">
        <v>0</v>
      </c>
      <c r="R38" s="258">
        <v>0</v>
      </c>
      <c r="S38" s="258">
        <v>0</v>
      </c>
      <c r="T38" s="258">
        <v>0</v>
      </c>
      <c r="U38" s="258">
        <v>519</v>
      </c>
      <c r="V38" s="258">
        <v>305.39999999999998</v>
      </c>
      <c r="W38" s="258">
        <v>21</v>
      </c>
      <c r="X38" s="258">
        <v>159.19999999999999</v>
      </c>
      <c r="Y38" s="260">
        <v>3209746.5</v>
      </c>
      <c r="Z38" s="316"/>
    </row>
    <row r="39" spans="1:26" x14ac:dyDescent="0.25">
      <c r="Y39" s="217">
        <v>1873604.19</v>
      </c>
      <c r="Z39" t="s">
        <v>394</v>
      </c>
    </row>
    <row r="41" spans="1:26" x14ac:dyDescent="0.25">
      <c r="A41" s="634" t="s">
        <v>357</v>
      </c>
      <c r="B41" s="634"/>
      <c r="C41" s="634"/>
      <c r="D41" s="634"/>
      <c r="E41" s="634"/>
      <c r="F41" s="634"/>
      <c r="G41" s="634"/>
      <c r="H41" s="634"/>
      <c r="I41" s="634"/>
      <c r="J41" s="634"/>
      <c r="K41" s="634"/>
      <c r="L41" s="634"/>
      <c r="M41" s="634"/>
      <c r="N41" s="634"/>
      <c r="O41" s="634"/>
      <c r="P41" s="634"/>
      <c r="Q41" s="634"/>
      <c r="R41" s="634"/>
      <c r="S41" s="634"/>
      <c r="T41" s="634"/>
      <c r="U41" s="634"/>
      <c r="V41" s="634"/>
      <c r="W41" s="634"/>
      <c r="X41" s="634"/>
      <c r="Y41" s="634"/>
      <c r="Z41" s="634"/>
    </row>
    <row r="42" spans="1:26" ht="16.5" thickBot="1" x14ac:dyDescent="0.3">
      <c r="A42" s="548" t="s">
        <v>395</v>
      </c>
      <c r="B42" s="548"/>
      <c r="C42" s="548"/>
      <c r="D42" s="548"/>
      <c r="E42" s="548"/>
      <c r="F42" s="548"/>
      <c r="G42" s="548"/>
      <c r="H42" s="548"/>
      <c r="I42" s="548"/>
      <c r="J42" s="548"/>
      <c r="K42" s="548"/>
      <c r="L42" s="548"/>
      <c r="M42" s="548"/>
      <c r="N42" s="548"/>
      <c r="O42" s="548"/>
      <c r="P42" s="548"/>
      <c r="Q42" s="548"/>
      <c r="R42" s="548"/>
      <c r="S42" s="548"/>
      <c r="T42" s="548"/>
      <c r="U42" s="548"/>
      <c r="V42" s="548"/>
      <c r="W42" s="548"/>
      <c r="X42" s="548"/>
      <c r="Y42" s="548"/>
      <c r="Z42" s="548"/>
    </row>
    <row r="43" spans="1:26" ht="51" thickBot="1" x14ac:dyDescent="0.3">
      <c r="A43" s="635" t="s">
        <v>10</v>
      </c>
      <c r="B43" s="635" t="s">
        <v>315</v>
      </c>
      <c r="C43" s="635" t="s">
        <v>316</v>
      </c>
      <c r="D43" s="632" t="s">
        <v>317</v>
      </c>
      <c r="E43" s="633"/>
      <c r="F43" s="632" t="s">
        <v>318</v>
      </c>
      <c r="G43" s="633"/>
      <c r="H43" s="632" t="s">
        <v>319</v>
      </c>
      <c r="I43" s="633"/>
      <c r="J43" s="632" t="s">
        <v>320</v>
      </c>
      <c r="K43" s="633"/>
      <c r="L43" s="632" t="s">
        <v>321</v>
      </c>
      <c r="M43" s="633"/>
      <c r="N43" s="632" t="s">
        <v>322</v>
      </c>
      <c r="O43" s="633"/>
      <c r="P43" s="632" t="s">
        <v>323</v>
      </c>
      <c r="Q43" s="633"/>
      <c r="R43" s="632" t="s">
        <v>324</v>
      </c>
      <c r="S43" s="633"/>
      <c r="T43" s="632" t="s">
        <v>325</v>
      </c>
      <c r="U43" s="633"/>
      <c r="V43" s="632" t="s">
        <v>326</v>
      </c>
      <c r="W43" s="633"/>
      <c r="X43" s="632" t="s">
        <v>327</v>
      </c>
      <c r="Y43" s="633"/>
      <c r="Z43" s="261" t="s">
        <v>358</v>
      </c>
    </row>
    <row r="44" spans="1:26" ht="21.75" thickBot="1" x14ac:dyDescent="0.3">
      <c r="A44" s="636"/>
      <c r="B44" s="636"/>
      <c r="C44" s="636"/>
      <c r="D44" s="262" t="s">
        <v>63</v>
      </c>
      <c r="E44" s="262" t="s">
        <v>42</v>
      </c>
      <c r="F44" s="262" t="s">
        <v>243</v>
      </c>
      <c r="G44" s="262" t="s">
        <v>42</v>
      </c>
      <c r="H44" s="262" t="s">
        <v>243</v>
      </c>
      <c r="I44" s="262" t="s">
        <v>42</v>
      </c>
      <c r="J44" s="262" t="s">
        <v>63</v>
      </c>
      <c r="K44" s="262" t="s">
        <v>42</v>
      </c>
      <c r="L44" s="262" t="s">
        <v>63</v>
      </c>
      <c r="M44" s="262" t="s">
        <v>42</v>
      </c>
      <c r="N44" s="262" t="s">
        <v>243</v>
      </c>
      <c r="O44" s="262" t="s">
        <v>42</v>
      </c>
      <c r="P44" s="262" t="s">
        <v>243</v>
      </c>
      <c r="Q44" s="262" t="s">
        <v>42</v>
      </c>
      <c r="R44" s="262" t="s">
        <v>243</v>
      </c>
      <c r="S44" s="262" t="s">
        <v>42</v>
      </c>
      <c r="T44" s="262" t="s">
        <v>243</v>
      </c>
      <c r="U44" s="262" t="s">
        <v>63</v>
      </c>
      <c r="V44" s="262" t="s">
        <v>329</v>
      </c>
      <c r="W44" s="262" t="s">
        <v>42</v>
      </c>
      <c r="X44" s="262" t="s">
        <v>243</v>
      </c>
      <c r="Y44" s="262" t="s">
        <v>42</v>
      </c>
      <c r="Z44" s="262" t="s">
        <v>359</v>
      </c>
    </row>
    <row r="45" spans="1:26" ht="39" thickBot="1" x14ac:dyDescent="0.3">
      <c r="A45" s="263">
        <v>1</v>
      </c>
      <c r="B45" s="264" t="s">
        <v>103</v>
      </c>
      <c r="C45" s="169">
        <v>1540</v>
      </c>
      <c r="D45" s="252">
        <v>0</v>
      </c>
      <c r="E45" s="71">
        <v>0</v>
      </c>
      <c r="F45" s="71">
        <v>0</v>
      </c>
      <c r="G45" s="252">
        <v>0</v>
      </c>
      <c r="H45" s="71">
        <v>0</v>
      </c>
      <c r="I45" s="71">
        <v>0</v>
      </c>
      <c r="J45" s="252">
        <v>0</v>
      </c>
      <c r="K45" s="71">
        <v>0</v>
      </c>
      <c r="L45" s="71">
        <v>0</v>
      </c>
      <c r="M45" s="252">
        <v>0</v>
      </c>
      <c r="N45" s="71">
        <v>0</v>
      </c>
      <c r="O45" s="71">
        <v>0</v>
      </c>
      <c r="P45" s="252">
        <v>0</v>
      </c>
      <c r="Q45" s="71">
        <v>0</v>
      </c>
      <c r="R45" s="71">
        <v>0</v>
      </c>
      <c r="S45" s="252">
        <v>0</v>
      </c>
      <c r="T45" s="71">
        <v>0</v>
      </c>
      <c r="U45" s="71">
        <v>0</v>
      </c>
      <c r="V45" s="252">
        <v>0</v>
      </c>
      <c r="W45" s="71">
        <v>0</v>
      </c>
      <c r="X45" s="71">
        <v>0</v>
      </c>
      <c r="Y45" s="71">
        <v>0</v>
      </c>
      <c r="Z45" s="71">
        <v>161.16999999999999</v>
      </c>
    </row>
    <row r="46" spans="1:26" ht="39" thickBot="1" x14ac:dyDescent="0.3">
      <c r="A46" s="263">
        <v>2</v>
      </c>
      <c r="B46" s="264" t="s">
        <v>101</v>
      </c>
      <c r="C46" s="71">
        <v>620</v>
      </c>
      <c r="D46" s="252">
        <v>0</v>
      </c>
      <c r="E46" s="71">
        <v>0</v>
      </c>
      <c r="F46" s="71">
        <v>0</v>
      </c>
      <c r="G46" s="252">
        <v>0</v>
      </c>
      <c r="H46" s="71">
        <v>0</v>
      </c>
      <c r="I46" s="71">
        <v>0</v>
      </c>
      <c r="J46" s="252">
        <v>0</v>
      </c>
      <c r="K46" s="71">
        <v>0</v>
      </c>
      <c r="L46" s="71">
        <v>0</v>
      </c>
      <c r="M46" s="252">
        <v>0</v>
      </c>
      <c r="N46" s="71">
        <v>0</v>
      </c>
      <c r="O46" s="71">
        <v>0</v>
      </c>
      <c r="P46" s="252">
        <v>0</v>
      </c>
      <c r="Q46" s="71">
        <v>0</v>
      </c>
      <c r="R46" s="71">
        <v>0</v>
      </c>
      <c r="S46" s="252">
        <v>0</v>
      </c>
      <c r="T46" s="71">
        <v>0</v>
      </c>
      <c r="U46" s="71">
        <v>0</v>
      </c>
      <c r="V46" s="252">
        <v>0</v>
      </c>
      <c r="W46" s="71">
        <v>0</v>
      </c>
      <c r="X46" s="71">
        <v>0</v>
      </c>
      <c r="Y46" s="71">
        <v>0</v>
      </c>
      <c r="Z46" s="71">
        <v>88.05</v>
      </c>
    </row>
    <row r="47" spans="1:26" ht="39" thickBot="1" x14ac:dyDescent="0.3">
      <c r="A47" s="263">
        <v>3</v>
      </c>
      <c r="B47" s="264" t="s">
        <v>104</v>
      </c>
      <c r="C47" s="169">
        <v>1844</v>
      </c>
      <c r="D47" s="252">
        <v>0</v>
      </c>
      <c r="E47" s="71">
        <v>0</v>
      </c>
      <c r="F47" s="71">
        <v>0</v>
      </c>
      <c r="G47" s="252">
        <v>0</v>
      </c>
      <c r="H47" s="71">
        <v>0</v>
      </c>
      <c r="I47" s="71">
        <v>0</v>
      </c>
      <c r="J47" s="252">
        <v>0</v>
      </c>
      <c r="K47" s="71">
        <v>0</v>
      </c>
      <c r="L47" s="71">
        <v>0</v>
      </c>
      <c r="M47" s="252">
        <v>0</v>
      </c>
      <c r="N47" s="71">
        <v>0</v>
      </c>
      <c r="O47" s="71">
        <v>0</v>
      </c>
      <c r="P47" s="252">
        <v>0</v>
      </c>
      <c r="Q47" s="71">
        <v>0</v>
      </c>
      <c r="R47" s="71">
        <v>0</v>
      </c>
      <c r="S47" s="252">
        <v>0</v>
      </c>
      <c r="T47" s="71">
        <v>0</v>
      </c>
      <c r="U47" s="71">
        <v>0</v>
      </c>
      <c r="V47" s="252">
        <v>0</v>
      </c>
      <c r="W47" s="71">
        <v>0</v>
      </c>
      <c r="X47" s="71">
        <v>0</v>
      </c>
      <c r="Y47" s="71">
        <v>0</v>
      </c>
      <c r="Z47" s="71">
        <v>212.62</v>
      </c>
    </row>
    <row r="48" spans="1:26" ht="39" thickBot="1" x14ac:dyDescent="0.3">
      <c r="A48" s="263">
        <v>4</v>
      </c>
      <c r="B48" s="264" t="s">
        <v>331</v>
      </c>
      <c r="C48" s="251">
        <v>2891</v>
      </c>
      <c r="D48" s="252">
        <v>0</v>
      </c>
      <c r="E48" s="71">
        <v>0</v>
      </c>
      <c r="F48" s="71">
        <v>0</v>
      </c>
      <c r="G48" s="252">
        <v>0</v>
      </c>
      <c r="H48" s="71">
        <v>0</v>
      </c>
      <c r="I48" s="71">
        <v>0</v>
      </c>
      <c r="J48" s="252">
        <v>0</v>
      </c>
      <c r="K48" s="71">
        <v>0</v>
      </c>
      <c r="L48" s="71">
        <v>0</v>
      </c>
      <c r="M48" s="252">
        <v>0</v>
      </c>
      <c r="N48" s="71">
        <v>0</v>
      </c>
      <c r="O48" s="71">
        <v>0</v>
      </c>
      <c r="P48" s="252">
        <v>0</v>
      </c>
      <c r="Q48" s="71">
        <v>0</v>
      </c>
      <c r="R48" s="71">
        <v>0</v>
      </c>
      <c r="S48" s="252">
        <v>0</v>
      </c>
      <c r="T48" s="71">
        <v>0</v>
      </c>
      <c r="U48" s="71">
        <v>0</v>
      </c>
      <c r="V48" s="252">
        <v>0</v>
      </c>
      <c r="W48" s="71">
        <v>0</v>
      </c>
      <c r="X48" s="71">
        <v>0</v>
      </c>
      <c r="Y48" s="71">
        <v>0</v>
      </c>
      <c r="Z48" s="252">
        <v>259.47000000000003</v>
      </c>
    </row>
    <row r="49" spans="1:26" ht="51.75" thickBot="1" x14ac:dyDescent="0.3">
      <c r="A49" s="263">
        <v>5</v>
      </c>
      <c r="B49" s="264" t="s">
        <v>332</v>
      </c>
      <c r="C49" s="252">
        <v>616</v>
      </c>
      <c r="D49" s="252">
        <v>0</v>
      </c>
      <c r="E49" s="71">
        <v>0</v>
      </c>
      <c r="F49" s="71">
        <v>0</v>
      </c>
      <c r="G49" s="252">
        <v>0</v>
      </c>
      <c r="H49" s="71">
        <v>0</v>
      </c>
      <c r="I49" s="71">
        <v>0</v>
      </c>
      <c r="J49" s="252">
        <v>0</v>
      </c>
      <c r="K49" s="71">
        <v>0</v>
      </c>
      <c r="L49" s="71">
        <v>0</v>
      </c>
      <c r="M49" s="252">
        <v>0</v>
      </c>
      <c r="N49" s="71">
        <v>0</v>
      </c>
      <c r="O49" s="71">
        <v>0</v>
      </c>
      <c r="P49" s="252">
        <v>0</v>
      </c>
      <c r="Q49" s="71">
        <v>0</v>
      </c>
      <c r="R49" s="71">
        <v>0</v>
      </c>
      <c r="S49" s="252">
        <v>0</v>
      </c>
      <c r="T49" s="71">
        <v>0</v>
      </c>
      <c r="U49" s="71">
        <v>0</v>
      </c>
      <c r="V49" s="252">
        <v>0</v>
      </c>
      <c r="W49" s="71">
        <v>0</v>
      </c>
      <c r="X49" s="71">
        <v>0</v>
      </c>
      <c r="Y49" s="71">
        <v>0</v>
      </c>
      <c r="Z49" s="252">
        <v>81.069999999999993</v>
      </c>
    </row>
    <row r="50" spans="1:26" ht="39" thickBot="1" x14ac:dyDescent="0.3">
      <c r="A50" s="263">
        <v>6</v>
      </c>
      <c r="B50" s="116" t="s">
        <v>333</v>
      </c>
      <c r="C50" s="252">
        <v>648</v>
      </c>
      <c r="D50" s="252">
        <v>0</v>
      </c>
      <c r="E50" s="71">
        <v>0</v>
      </c>
      <c r="F50" s="71">
        <v>0</v>
      </c>
      <c r="G50" s="252">
        <v>0</v>
      </c>
      <c r="H50" s="71">
        <v>0</v>
      </c>
      <c r="I50" s="71">
        <v>0</v>
      </c>
      <c r="J50" s="252">
        <v>0</v>
      </c>
      <c r="K50" s="71">
        <v>0</v>
      </c>
      <c r="L50" s="71">
        <v>0</v>
      </c>
      <c r="M50" s="252">
        <v>0</v>
      </c>
      <c r="N50" s="71">
        <v>0</v>
      </c>
      <c r="O50" s="71">
        <v>0</v>
      </c>
      <c r="P50" s="252">
        <v>0</v>
      </c>
      <c r="Q50" s="71">
        <v>0</v>
      </c>
      <c r="R50" s="71">
        <v>0</v>
      </c>
      <c r="S50" s="252">
        <v>0</v>
      </c>
      <c r="T50" s="71">
        <v>0</v>
      </c>
      <c r="U50" s="71">
        <v>0</v>
      </c>
      <c r="V50" s="252">
        <v>0</v>
      </c>
      <c r="W50" s="71">
        <v>0</v>
      </c>
      <c r="X50" s="71">
        <v>0</v>
      </c>
      <c r="Y50" s="71">
        <v>0</v>
      </c>
      <c r="Z50" s="252">
        <v>70.63</v>
      </c>
    </row>
    <row r="51" spans="1:26" ht="128.25" thickBot="1" x14ac:dyDescent="0.3">
      <c r="A51" s="263">
        <v>7</v>
      </c>
      <c r="B51" s="264" t="s">
        <v>334</v>
      </c>
      <c r="C51" s="252">
        <v>237</v>
      </c>
      <c r="D51" s="252">
        <v>0</v>
      </c>
      <c r="E51" s="71">
        <v>0</v>
      </c>
      <c r="F51" s="71">
        <v>0</v>
      </c>
      <c r="G51" s="252">
        <v>0</v>
      </c>
      <c r="H51" s="71">
        <v>0</v>
      </c>
      <c r="I51" s="71">
        <v>0</v>
      </c>
      <c r="J51" s="252">
        <v>0</v>
      </c>
      <c r="K51" s="71">
        <v>0</v>
      </c>
      <c r="L51" s="71">
        <v>0</v>
      </c>
      <c r="M51" s="252">
        <v>0</v>
      </c>
      <c r="N51" s="71">
        <v>0</v>
      </c>
      <c r="O51" s="71">
        <v>0</v>
      </c>
      <c r="P51" s="252">
        <v>0</v>
      </c>
      <c r="Q51" s="71">
        <v>0</v>
      </c>
      <c r="R51" s="71">
        <v>0</v>
      </c>
      <c r="S51" s="252">
        <v>0</v>
      </c>
      <c r="T51" s="71">
        <v>0</v>
      </c>
      <c r="U51" s="71">
        <v>0</v>
      </c>
      <c r="V51" s="252">
        <v>0</v>
      </c>
      <c r="W51" s="71">
        <v>0</v>
      </c>
      <c r="X51" s="71">
        <v>0</v>
      </c>
      <c r="Y51" s="71">
        <v>0</v>
      </c>
      <c r="Z51" s="252">
        <v>69.680000000000007</v>
      </c>
    </row>
    <row r="52" spans="1:26" ht="26.25" thickBot="1" x14ac:dyDescent="0.3">
      <c r="A52" s="263">
        <v>8</v>
      </c>
      <c r="B52" s="264" t="s">
        <v>335</v>
      </c>
      <c r="C52" s="252">
        <v>258</v>
      </c>
      <c r="D52" s="252">
        <v>0</v>
      </c>
      <c r="E52" s="71">
        <v>0</v>
      </c>
      <c r="F52" s="71">
        <v>0</v>
      </c>
      <c r="G52" s="252">
        <v>0</v>
      </c>
      <c r="H52" s="71">
        <v>0</v>
      </c>
      <c r="I52" s="71">
        <v>0</v>
      </c>
      <c r="J52" s="252">
        <v>0</v>
      </c>
      <c r="K52" s="71">
        <v>0</v>
      </c>
      <c r="L52" s="71">
        <v>0</v>
      </c>
      <c r="M52" s="252">
        <v>0</v>
      </c>
      <c r="N52" s="71">
        <v>0</v>
      </c>
      <c r="O52" s="71">
        <v>0</v>
      </c>
      <c r="P52" s="252">
        <v>0</v>
      </c>
      <c r="Q52" s="71">
        <v>0</v>
      </c>
      <c r="R52" s="71">
        <v>0</v>
      </c>
      <c r="S52" s="252">
        <v>0</v>
      </c>
      <c r="T52" s="71">
        <v>0</v>
      </c>
      <c r="U52" s="71">
        <v>0</v>
      </c>
      <c r="V52" s="252">
        <v>0</v>
      </c>
      <c r="W52" s="71">
        <v>0</v>
      </c>
      <c r="X52" s="71">
        <v>0</v>
      </c>
      <c r="Y52" s="71">
        <v>0</v>
      </c>
      <c r="Z52" s="252">
        <v>47.23</v>
      </c>
    </row>
    <row r="53" spans="1:26" ht="26.25" thickBot="1" x14ac:dyDescent="0.3">
      <c r="A53" s="263">
        <v>9</v>
      </c>
      <c r="B53" s="264" t="s">
        <v>336</v>
      </c>
      <c r="C53" s="252">
        <v>579</v>
      </c>
      <c r="D53" s="252">
        <v>0</v>
      </c>
      <c r="E53" s="71">
        <v>0</v>
      </c>
      <c r="F53" s="71">
        <v>0</v>
      </c>
      <c r="G53" s="252">
        <v>0</v>
      </c>
      <c r="H53" s="71">
        <v>0</v>
      </c>
      <c r="I53" s="71">
        <v>0</v>
      </c>
      <c r="J53" s="252">
        <v>0</v>
      </c>
      <c r="K53" s="71">
        <v>0</v>
      </c>
      <c r="L53" s="71">
        <v>0</v>
      </c>
      <c r="M53" s="252">
        <v>0</v>
      </c>
      <c r="N53" s="71">
        <v>0</v>
      </c>
      <c r="O53" s="71">
        <v>0</v>
      </c>
      <c r="P53" s="252">
        <v>0</v>
      </c>
      <c r="Q53" s="71">
        <v>0</v>
      </c>
      <c r="R53" s="71">
        <v>0</v>
      </c>
      <c r="S53" s="252">
        <v>0</v>
      </c>
      <c r="T53" s="71">
        <v>0</v>
      </c>
      <c r="U53" s="71">
        <v>0</v>
      </c>
      <c r="V53" s="252">
        <v>0</v>
      </c>
      <c r="W53" s="71">
        <v>0</v>
      </c>
      <c r="X53" s="71">
        <v>0</v>
      </c>
      <c r="Y53" s="71">
        <v>0</v>
      </c>
      <c r="Z53" s="252">
        <v>69.05</v>
      </c>
    </row>
    <row r="54" spans="1:26" ht="39" thickBot="1" x14ac:dyDescent="0.3">
      <c r="A54" s="263">
        <v>10</v>
      </c>
      <c r="B54" s="264" t="s">
        <v>105</v>
      </c>
      <c r="C54" s="252">
        <v>588</v>
      </c>
      <c r="D54" s="252">
        <v>0</v>
      </c>
      <c r="E54" s="71">
        <v>0</v>
      </c>
      <c r="F54" s="71">
        <v>0</v>
      </c>
      <c r="G54" s="252">
        <v>0</v>
      </c>
      <c r="H54" s="71">
        <v>0</v>
      </c>
      <c r="I54" s="71">
        <v>0</v>
      </c>
      <c r="J54" s="252">
        <v>0</v>
      </c>
      <c r="K54" s="71">
        <v>0</v>
      </c>
      <c r="L54" s="71">
        <v>0</v>
      </c>
      <c r="M54" s="252">
        <v>0</v>
      </c>
      <c r="N54" s="71">
        <v>0</v>
      </c>
      <c r="O54" s="71">
        <v>0</v>
      </c>
      <c r="P54" s="252">
        <v>0</v>
      </c>
      <c r="Q54" s="71">
        <v>0</v>
      </c>
      <c r="R54" s="71">
        <v>0</v>
      </c>
      <c r="S54" s="252">
        <v>0</v>
      </c>
      <c r="T54" s="71">
        <v>0</v>
      </c>
      <c r="U54" s="71">
        <v>0</v>
      </c>
      <c r="V54" s="252">
        <v>0</v>
      </c>
      <c r="W54" s="71">
        <v>0</v>
      </c>
      <c r="X54" s="71">
        <v>0</v>
      </c>
      <c r="Y54" s="71">
        <v>0</v>
      </c>
      <c r="Z54" s="252">
        <v>73.709999999999994</v>
      </c>
    </row>
    <row r="55" spans="1:26" ht="102.75" thickBot="1" x14ac:dyDescent="0.3">
      <c r="A55" s="263">
        <v>11</v>
      </c>
      <c r="B55" s="264" t="s">
        <v>337</v>
      </c>
      <c r="C55" s="252">
        <v>168</v>
      </c>
      <c r="D55" s="252">
        <v>0</v>
      </c>
      <c r="E55" s="71">
        <v>0</v>
      </c>
      <c r="F55" s="71">
        <v>0</v>
      </c>
      <c r="G55" s="252">
        <v>0</v>
      </c>
      <c r="H55" s="71">
        <v>0</v>
      </c>
      <c r="I55" s="71">
        <v>0</v>
      </c>
      <c r="J55" s="252">
        <v>0</v>
      </c>
      <c r="K55" s="71">
        <v>0</v>
      </c>
      <c r="L55" s="71">
        <v>0</v>
      </c>
      <c r="M55" s="252">
        <v>0</v>
      </c>
      <c r="N55" s="71">
        <v>0</v>
      </c>
      <c r="O55" s="71">
        <v>0</v>
      </c>
      <c r="P55" s="252">
        <v>0</v>
      </c>
      <c r="Q55" s="71">
        <v>0</v>
      </c>
      <c r="R55" s="71">
        <v>0</v>
      </c>
      <c r="S55" s="252">
        <v>0</v>
      </c>
      <c r="T55" s="71">
        <v>0</v>
      </c>
      <c r="U55" s="71">
        <v>0</v>
      </c>
      <c r="V55" s="252">
        <v>0</v>
      </c>
      <c r="W55" s="71">
        <v>0</v>
      </c>
      <c r="X55" s="71">
        <v>0</v>
      </c>
      <c r="Y55" s="71">
        <v>0</v>
      </c>
      <c r="Z55" s="252">
        <v>36.64</v>
      </c>
    </row>
    <row r="56" spans="1:26" ht="77.25" thickBot="1" x14ac:dyDescent="0.3">
      <c r="A56" s="263">
        <v>12</v>
      </c>
      <c r="B56" s="264" t="s">
        <v>338</v>
      </c>
      <c r="C56" s="252">
        <v>452</v>
      </c>
      <c r="D56" s="252">
        <v>0</v>
      </c>
      <c r="E56" s="71">
        <v>0</v>
      </c>
      <c r="F56" s="71">
        <v>0</v>
      </c>
      <c r="G56" s="252">
        <v>0</v>
      </c>
      <c r="H56" s="71">
        <v>0</v>
      </c>
      <c r="I56" s="71">
        <v>0</v>
      </c>
      <c r="J56" s="252">
        <v>0</v>
      </c>
      <c r="K56" s="71">
        <v>0</v>
      </c>
      <c r="L56" s="71">
        <v>0</v>
      </c>
      <c r="M56" s="252">
        <v>0</v>
      </c>
      <c r="N56" s="71">
        <v>0</v>
      </c>
      <c r="O56" s="71">
        <v>0</v>
      </c>
      <c r="P56" s="252">
        <v>0</v>
      </c>
      <c r="Q56" s="71">
        <v>0</v>
      </c>
      <c r="R56" s="71">
        <v>0</v>
      </c>
      <c r="S56" s="252">
        <v>0</v>
      </c>
      <c r="T56" s="71">
        <v>0</v>
      </c>
      <c r="U56" s="71">
        <v>0</v>
      </c>
      <c r="V56" s="252">
        <v>0</v>
      </c>
      <c r="W56" s="71">
        <v>0</v>
      </c>
      <c r="X56" s="71">
        <v>0</v>
      </c>
      <c r="Y56" s="71">
        <v>0</v>
      </c>
      <c r="Z56" s="252">
        <v>80.400000000000006</v>
      </c>
    </row>
    <row r="57" spans="1:26" ht="268.5" thickBot="1" x14ac:dyDescent="0.3">
      <c r="A57" s="263">
        <v>13</v>
      </c>
      <c r="B57" s="116" t="s">
        <v>340</v>
      </c>
      <c r="C57" s="252">
        <v>484</v>
      </c>
      <c r="D57" s="252">
        <v>0</v>
      </c>
      <c r="E57" s="71">
        <v>0</v>
      </c>
      <c r="F57" s="71">
        <v>0</v>
      </c>
      <c r="G57" s="252">
        <v>0</v>
      </c>
      <c r="H57" s="71">
        <v>0</v>
      </c>
      <c r="I57" s="71">
        <v>0</v>
      </c>
      <c r="J57" s="252">
        <v>0</v>
      </c>
      <c r="K57" s="71">
        <v>0</v>
      </c>
      <c r="L57" s="71">
        <v>0</v>
      </c>
      <c r="M57" s="252">
        <v>0</v>
      </c>
      <c r="N57" s="71">
        <v>0</v>
      </c>
      <c r="O57" s="71">
        <v>0</v>
      </c>
      <c r="P57" s="252">
        <v>0</v>
      </c>
      <c r="Q57" s="71">
        <v>0</v>
      </c>
      <c r="R57" s="71">
        <v>0</v>
      </c>
      <c r="S57" s="252">
        <v>0</v>
      </c>
      <c r="T57" s="71">
        <v>0</v>
      </c>
      <c r="U57" s="71">
        <v>0</v>
      </c>
      <c r="V57" s="252">
        <v>0</v>
      </c>
      <c r="W57" s="71">
        <v>0</v>
      </c>
      <c r="X57" s="71">
        <v>0</v>
      </c>
      <c r="Y57" s="71">
        <v>0</v>
      </c>
      <c r="Z57" s="252">
        <v>66.099999999999994</v>
      </c>
    </row>
    <row r="58" spans="1:26" ht="39" thickBot="1" x14ac:dyDescent="0.3">
      <c r="A58" s="263">
        <v>14</v>
      </c>
      <c r="B58" s="139" t="s">
        <v>360</v>
      </c>
      <c r="C58" s="252">
        <v>65</v>
      </c>
      <c r="D58" s="252">
        <v>0</v>
      </c>
      <c r="E58" s="71">
        <v>0</v>
      </c>
      <c r="F58" s="71">
        <v>0</v>
      </c>
      <c r="G58" s="252">
        <v>0</v>
      </c>
      <c r="H58" s="71">
        <v>0</v>
      </c>
      <c r="I58" s="71">
        <v>0</v>
      </c>
      <c r="J58" s="252">
        <v>0</v>
      </c>
      <c r="K58" s="71">
        <v>0</v>
      </c>
      <c r="L58" s="71">
        <v>0</v>
      </c>
      <c r="M58" s="252">
        <v>0</v>
      </c>
      <c r="N58" s="71">
        <v>0</v>
      </c>
      <c r="O58" s="71">
        <v>0</v>
      </c>
      <c r="P58" s="252">
        <v>0</v>
      </c>
      <c r="Q58" s="71">
        <v>0</v>
      </c>
      <c r="R58" s="71">
        <v>0</v>
      </c>
      <c r="S58" s="252">
        <v>0</v>
      </c>
      <c r="T58" s="71">
        <v>0</v>
      </c>
      <c r="U58" s="71">
        <v>0</v>
      </c>
      <c r="V58" s="252">
        <v>0</v>
      </c>
      <c r="W58" s="71">
        <v>0</v>
      </c>
      <c r="X58" s="71">
        <v>0</v>
      </c>
      <c r="Y58" s="71">
        <v>0</v>
      </c>
      <c r="Z58" s="252">
        <v>25.09</v>
      </c>
    </row>
    <row r="59" spans="1:26" ht="64.5" thickBot="1" x14ac:dyDescent="0.3">
      <c r="A59" s="263">
        <v>15</v>
      </c>
      <c r="B59" s="139" t="s">
        <v>343</v>
      </c>
      <c r="C59" s="252">
        <v>203</v>
      </c>
      <c r="D59" s="252">
        <v>0</v>
      </c>
      <c r="E59" s="71">
        <v>0</v>
      </c>
      <c r="F59" s="71">
        <v>0</v>
      </c>
      <c r="G59" s="252">
        <v>0</v>
      </c>
      <c r="H59" s="71">
        <v>0</v>
      </c>
      <c r="I59" s="71">
        <v>0</v>
      </c>
      <c r="J59" s="252">
        <v>0</v>
      </c>
      <c r="K59" s="71">
        <v>0</v>
      </c>
      <c r="L59" s="71">
        <v>0</v>
      </c>
      <c r="M59" s="252">
        <v>0</v>
      </c>
      <c r="N59" s="71">
        <v>0</v>
      </c>
      <c r="O59" s="71">
        <v>0</v>
      </c>
      <c r="P59" s="252">
        <v>0</v>
      </c>
      <c r="Q59" s="71">
        <v>0</v>
      </c>
      <c r="R59" s="71">
        <v>0</v>
      </c>
      <c r="S59" s="252">
        <v>0</v>
      </c>
      <c r="T59" s="71">
        <v>0</v>
      </c>
      <c r="U59" s="71">
        <v>0</v>
      </c>
      <c r="V59" s="252">
        <v>0</v>
      </c>
      <c r="W59" s="71">
        <v>0</v>
      </c>
      <c r="X59" s="71">
        <v>0</v>
      </c>
      <c r="Y59" s="71">
        <v>0</v>
      </c>
      <c r="Z59" s="252">
        <v>41.36</v>
      </c>
    </row>
    <row r="60" spans="1:26" ht="26.25" thickBot="1" x14ac:dyDescent="0.3">
      <c r="A60" s="263">
        <v>16</v>
      </c>
      <c r="B60" s="264" t="s">
        <v>113</v>
      </c>
      <c r="C60" s="252">
        <v>581</v>
      </c>
      <c r="D60" s="252">
        <v>0</v>
      </c>
      <c r="E60" s="71">
        <v>0</v>
      </c>
      <c r="F60" s="71">
        <v>0</v>
      </c>
      <c r="G60" s="252">
        <v>0</v>
      </c>
      <c r="H60" s="71">
        <v>0</v>
      </c>
      <c r="I60" s="71">
        <v>0</v>
      </c>
      <c r="J60" s="252">
        <v>0</v>
      </c>
      <c r="K60" s="71">
        <v>0</v>
      </c>
      <c r="L60" s="71">
        <v>0</v>
      </c>
      <c r="M60" s="252">
        <v>0</v>
      </c>
      <c r="N60" s="71">
        <v>0</v>
      </c>
      <c r="O60" s="71">
        <v>0</v>
      </c>
      <c r="P60" s="252">
        <v>0</v>
      </c>
      <c r="Q60" s="71">
        <v>0</v>
      </c>
      <c r="R60" s="71">
        <v>0</v>
      </c>
      <c r="S60" s="252">
        <v>0</v>
      </c>
      <c r="T60" s="71">
        <v>0</v>
      </c>
      <c r="U60" s="71">
        <v>0</v>
      </c>
      <c r="V60" s="252">
        <v>0</v>
      </c>
      <c r="W60" s="71">
        <v>0</v>
      </c>
      <c r="X60" s="71">
        <v>0</v>
      </c>
      <c r="Y60" s="71">
        <v>0</v>
      </c>
      <c r="Z60" s="252">
        <v>62.46</v>
      </c>
    </row>
    <row r="61" spans="1:26" ht="39" thickBot="1" x14ac:dyDescent="0.3">
      <c r="A61" s="263">
        <v>17</v>
      </c>
      <c r="B61" s="264" t="s">
        <v>347</v>
      </c>
      <c r="C61" s="252">
        <v>254</v>
      </c>
      <c r="D61" s="252">
        <v>0</v>
      </c>
      <c r="E61" s="71">
        <v>0</v>
      </c>
      <c r="F61" s="71">
        <v>0</v>
      </c>
      <c r="G61" s="252">
        <v>0</v>
      </c>
      <c r="H61" s="71">
        <v>0</v>
      </c>
      <c r="I61" s="71">
        <v>0</v>
      </c>
      <c r="J61" s="252">
        <v>0</v>
      </c>
      <c r="K61" s="71">
        <v>0</v>
      </c>
      <c r="L61" s="71">
        <v>0</v>
      </c>
      <c r="M61" s="252">
        <v>0</v>
      </c>
      <c r="N61" s="71">
        <v>0</v>
      </c>
      <c r="O61" s="71">
        <v>0</v>
      </c>
      <c r="P61" s="252">
        <v>0</v>
      </c>
      <c r="Q61" s="71">
        <v>0</v>
      </c>
      <c r="R61" s="71">
        <v>0</v>
      </c>
      <c r="S61" s="252">
        <v>0</v>
      </c>
      <c r="T61" s="71">
        <v>0</v>
      </c>
      <c r="U61" s="71">
        <v>0</v>
      </c>
      <c r="V61" s="252">
        <v>0</v>
      </c>
      <c r="W61" s="71">
        <v>0</v>
      </c>
      <c r="X61" s="71">
        <v>0</v>
      </c>
      <c r="Y61" s="71">
        <v>0</v>
      </c>
      <c r="Z61" s="252">
        <v>43.09</v>
      </c>
    </row>
    <row r="62" spans="1:26" ht="39" thickBot="1" x14ac:dyDescent="0.3">
      <c r="A62" s="263">
        <v>18</v>
      </c>
      <c r="B62" s="264" t="s">
        <v>348</v>
      </c>
      <c r="C62" s="252">
        <v>170</v>
      </c>
      <c r="D62" s="252">
        <v>0</v>
      </c>
      <c r="E62" s="71">
        <v>0</v>
      </c>
      <c r="F62" s="71">
        <v>0</v>
      </c>
      <c r="G62" s="252">
        <v>0</v>
      </c>
      <c r="H62" s="71">
        <v>0</v>
      </c>
      <c r="I62" s="71">
        <v>0</v>
      </c>
      <c r="J62" s="252">
        <v>0</v>
      </c>
      <c r="K62" s="71">
        <v>0</v>
      </c>
      <c r="L62" s="71">
        <v>0</v>
      </c>
      <c r="M62" s="252">
        <v>0</v>
      </c>
      <c r="N62" s="71">
        <v>0</v>
      </c>
      <c r="O62" s="71">
        <v>0</v>
      </c>
      <c r="P62" s="252">
        <v>0</v>
      </c>
      <c r="Q62" s="71">
        <v>0</v>
      </c>
      <c r="R62" s="71">
        <v>0</v>
      </c>
      <c r="S62" s="252">
        <v>0</v>
      </c>
      <c r="T62" s="71">
        <v>0</v>
      </c>
      <c r="U62" s="71">
        <v>0</v>
      </c>
      <c r="V62" s="252">
        <v>0</v>
      </c>
      <c r="W62" s="71">
        <v>0</v>
      </c>
      <c r="X62" s="71">
        <v>0</v>
      </c>
      <c r="Y62" s="71">
        <v>0</v>
      </c>
      <c r="Z62" s="252">
        <v>40.69</v>
      </c>
    </row>
    <row r="63" spans="1:26" ht="192" thickBot="1" x14ac:dyDescent="0.3">
      <c r="A63" s="263">
        <v>19</v>
      </c>
      <c r="B63" s="264" t="s">
        <v>351</v>
      </c>
      <c r="C63" s="252">
        <v>834</v>
      </c>
      <c r="D63" s="252">
        <v>0</v>
      </c>
      <c r="E63" s="71">
        <v>0</v>
      </c>
      <c r="F63" s="71">
        <v>0</v>
      </c>
      <c r="G63" s="252">
        <v>0</v>
      </c>
      <c r="H63" s="71">
        <v>0</v>
      </c>
      <c r="I63" s="71">
        <v>0</v>
      </c>
      <c r="J63" s="252">
        <v>0</v>
      </c>
      <c r="K63" s="71">
        <v>0</v>
      </c>
      <c r="L63" s="71">
        <v>0</v>
      </c>
      <c r="M63" s="252">
        <v>0</v>
      </c>
      <c r="N63" s="71">
        <v>0</v>
      </c>
      <c r="O63" s="71">
        <v>0</v>
      </c>
      <c r="P63" s="252">
        <v>0</v>
      </c>
      <c r="Q63" s="71">
        <v>0</v>
      </c>
      <c r="R63" s="71">
        <v>0</v>
      </c>
      <c r="S63" s="252">
        <v>0</v>
      </c>
      <c r="T63" s="71">
        <v>0</v>
      </c>
      <c r="U63" s="71">
        <v>0</v>
      </c>
      <c r="V63" s="252">
        <v>0</v>
      </c>
      <c r="W63" s="71">
        <v>0</v>
      </c>
      <c r="X63" s="71">
        <v>0</v>
      </c>
      <c r="Y63" s="71">
        <v>0</v>
      </c>
      <c r="Z63" s="252">
        <v>80</v>
      </c>
    </row>
    <row r="64" spans="1:26" ht="26.25" thickBot="1" x14ac:dyDescent="0.3">
      <c r="A64" s="263">
        <v>20</v>
      </c>
      <c r="B64" s="264" t="s">
        <v>352</v>
      </c>
      <c r="C64" s="252">
        <v>163</v>
      </c>
      <c r="D64" s="252">
        <v>0</v>
      </c>
      <c r="E64" s="71">
        <v>0</v>
      </c>
      <c r="F64" s="71">
        <v>0</v>
      </c>
      <c r="G64" s="252">
        <v>0</v>
      </c>
      <c r="H64" s="71">
        <v>0</v>
      </c>
      <c r="I64" s="71">
        <v>0</v>
      </c>
      <c r="J64" s="252">
        <v>0</v>
      </c>
      <c r="K64" s="71">
        <v>0</v>
      </c>
      <c r="L64" s="71">
        <v>0</v>
      </c>
      <c r="M64" s="252">
        <v>0</v>
      </c>
      <c r="N64" s="71">
        <v>0</v>
      </c>
      <c r="O64" s="71">
        <v>0</v>
      </c>
      <c r="P64" s="252">
        <v>0</v>
      </c>
      <c r="Q64" s="71">
        <v>0</v>
      </c>
      <c r="R64" s="71">
        <v>0</v>
      </c>
      <c r="S64" s="252">
        <v>0</v>
      </c>
      <c r="T64" s="71">
        <v>0</v>
      </c>
      <c r="U64" s="71">
        <v>0</v>
      </c>
      <c r="V64" s="252">
        <v>0</v>
      </c>
      <c r="W64" s="71">
        <v>0</v>
      </c>
      <c r="X64" s="71">
        <v>0</v>
      </c>
      <c r="Y64" s="71">
        <v>0</v>
      </c>
      <c r="Z64" s="252">
        <v>46.68</v>
      </c>
    </row>
    <row r="65" spans="1:27" ht="26.25" thickBot="1" x14ac:dyDescent="0.3">
      <c r="A65" s="263">
        <v>21</v>
      </c>
      <c r="B65" s="265" t="s">
        <v>354</v>
      </c>
      <c r="C65" s="256">
        <v>373</v>
      </c>
      <c r="D65" s="252">
        <v>0</v>
      </c>
      <c r="E65" s="71">
        <v>0</v>
      </c>
      <c r="F65" s="71">
        <v>0</v>
      </c>
      <c r="G65" s="252">
        <v>0</v>
      </c>
      <c r="H65" s="71">
        <v>0</v>
      </c>
      <c r="I65" s="71">
        <v>0</v>
      </c>
      <c r="J65" s="252">
        <v>0</v>
      </c>
      <c r="K65" s="71">
        <v>0</v>
      </c>
      <c r="L65" s="71">
        <v>0</v>
      </c>
      <c r="M65" s="252">
        <v>0</v>
      </c>
      <c r="N65" s="71">
        <v>0</v>
      </c>
      <c r="O65" s="71">
        <v>0</v>
      </c>
      <c r="P65" s="252">
        <v>0</v>
      </c>
      <c r="Q65" s="71">
        <v>0</v>
      </c>
      <c r="R65" s="71">
        <v>0</v>
      </c>
      <c r="S65" s="252">
        <v>0</v>
      </c>
      <c r="T65" s="71">
        <v>0</v>
      </c>
      <c r="U65" s="71">
        <v>0</v>
      </c>
      <c r="V65" s="252">
        <v>0</v>
      </c>
      <c r="W65" s="71">
        <v>0</v>
      </c>
      <c r="X65" s="71">
        <v>0</v>
      </c>
      <c r="Y65" s="71">
        <v>0</v>
      </c>
      <c r="Z65" s="256">
        <v>47.43</v>
      </c>
    </row>
    <row r="66" spans="1:27" ht="15.75" thickBot="1" x14ac:dyDescent="0.3">
      <c r="A66" s="266"/>
      <c r="B66" s="267" t="s">
        <v>356</v>
      </c>
      <c r="C66" s="259">
        <v>13568</v>
      </c>
      <c r="D66" s="258">
        <v>0</v>
      </c>
      <c r="E66" s="258">
        <v>0</v>
      </c>
      <c r="F66" s="258">
        <v>0</v>
      </c>
      <c r="G66" s="258">
        <v>0</v>
      </c>
      <c r="H66" s="258">
        <v>0</v>
      </c>
      <c r="I66" s="258">
        <v>0</v>
      </c>
      <c r="J66" s="258">
        <v>0</v>
      </c>
      <c r="K66" s="258">
        <v>0</v>
      </c>
      <c r="L66" s="258">
        <v>0</v>
      </c>
      <c r="M66" s="258">
        <v>0</v>
      </c>
      <c r="N66" s="258">
        <v>0</v>
      </c>
      <c r="O66" s="258">
        <v>0</v>
      </c>
      <c r="P66" s="258">
        <v>0</v>
      </c>
      <c r="Q66" s="258">
        <v>0</v>
      </c>
      <c r="R66" s="258">
        <v>0</v>
      </c>
      <c r="S66" s="258">
        <v>0</v>
      </c>
      <c r="T66" s="258">
        <v>0</v>
      </c>
      <c r="U66" s="258">
        <v>0</v>
      </c>
      <c r="V66" s="258">
        <v>0</v>
      </c>
      <c r="W66" s="258">
        <v>0</v>
      </c>
      <c r="X66" s="258">
        <v>0</v>
      </c>
      <c r="Y66" s="258">
        <v>0</v>
      </c>
      <c r="Z66" s="259">
        <v>1702.62</v>
      </c>
    </row>
    <row r="67" spans="1:27" ht="15.75" thickBot="1" x14ac:dyDescent="0.3">
      <c r="A67" s="266"/>
      <c r="B67" s="267" t="s">
        <v>361</v>
      </c>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v>306.47000000000003</v>
      </c>
    </row>
    <row r="68" spans="1:27" ht="15.75" thickBot="1" x14ac:dyDescent="0.3">
      <c r="A68" s="266"/>
      <c r="B68" s="267" t="s">
        <v>362</v>
      </c>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68">
        <v>2009.09</v>
      </c>
    </row>
    <row r="70" spans="1:27" ht="15.75" thickBot="1" x14ac:dyDescent="0.3">
      <c r="Z70" s="317">
        <v>2000000</v>
      </c>
      <c r="AA70" t="s">
        <v>396</v>
      </c>
    </row>
    <row r="72" spans="1:27" ht="18.75" x14ac:dyDescent="0.25">
      <c r="A72" s="269"/>
      <c r="L72" s="624" t="s">
        <v>363</v>
      </c>
      <c r="M72" s="625"/>
      <c r="N72" s="625"/>
      <c r="O72" s="625"/>
      <c r="P72" s="625"/>
    </row>
    <row r="73" spans="1:27" ht="18.75" x14ac:dyDescent="0.25">
      <c r="A73" s="270"/>
      <c r="L73" s="624" t="s">
        <v>397</v>
      </c>
      <c r="M73" s="625" t="s">
        <v>364</v>
      </c>
      <c r="N73" s="625"/>
      <c r="O73" s="625"/>
      <c r="P73" s="625"/>
    </row>
    <row r="74" spans="1:27" ht="18" x14ac:dyDescent="0.3">
      <c r="A74" s="269"/>
    </row>
    <row r="75" spans="1:27" ht="15.6" x14ac:dyDescent="0.3">
      <c r="A75" s="13"/>
    </row>
    <row r="76" spans="1:27" ht="125.25" customHeight="1" x14ac:dyDescent="0.25">
      <c r="A76" s="628" t="s">
        <v>10</v>
      </c>
      <c r="B76" s="628" t="s">
        <v>365</v>
      </c>
      <c r="C76" s="571"/>
      <c r="D76" s="571"/>
      <c r="E76" s="571"/>
      <c r="F76" s="571"/>
      <c r="G76" s="571"/>
      <c r="H76" s="628" t="s">
        <v>366</v>
      </c>
      <c r="I76" s="571"/>
      <c r="J76" s="571"/>
      <c r="K76" s="571"/>
      <c r="L76" s="571"/>
      <c r="M76" s="571"/>
      <c r="N76" s="628" t="s">
        <v>208</v>
      </c>
      <c r="O76" s="628" t="s">
        <v>367</v>
      </c>
      <c r="P76" s="497"/>
    </row>
    <row r="77" spans="1:27" x14ac:dyDescent="0.25">
      <c r="A77" s="631"/>
      <c r="B77" s="628"/>
      <c r="C77" s="571"/>
      <c r="D77" s="571"/>
      <c r="E77" s="571"/>
      <c r="F77" s="571"/>
      <c r="G77" s="571"/>
      <c r="H77" s="628"/>
      <c r="I77" s="571"/>
      <c r="J77" s="571"/>
      <c r="K77" s="571"/>
      <c r="L77" s="571"/>
      <c r="M77" s="571"/>
      <c r="N77" s="628"/>
      <c r="O77" s="628">
        <v>2014</v>
      </c>
      <c r="P77" s="497"/>
    </row>
    <row r="78" spans="1:27" ht="15.6" x14ac:dyDescent="0.3">
      <c r="A78" s="271">
        <v>1</v>
      </c>
      <c r="B78" s="628">
        <v>2</v>
      </c>
      <c r="C78" s="571"/>
      <c r="D78" s="571"/>
      <c r="E78" s="571"/>
      <c r="F78" s="571"/>
      <c r="G78" s="571"/>
      <c r="H78" s="628">
        <v>3</v>
      </c>
      <c r="I78" s="571"/>
      <c r="J78" s="571"/>
      <c r="K78" s="571"/>
      <c r="L78" s="571"/>
      <c r="M78" s="571"/>
      <c r="N78" s="271">
        <v>4</v>
      </c>
      <c r="O78" s="628">
        <v>5</v>
      </c>
      <c r="P78" s="497"/>
    </row>
    <row r="79" spans="1:27" ht="39" customHeight="1" x14ac:dyDescent="0.25">
      <c r="A79" s="271" t="s">
        <v>368</v>
      </c>
      <c r="B79" s="626" t="s">
        <v>369</v>
      </c>
      <c r="C79" s="627"/>
      <c r="D79" s="627"/>
      <c r="E79" s="627"/>
      <c r="F79" s="627"/>
      <c r="G79" s="627"/>
      <c r="H79" s="628"/>
      <c r="I79" s="571"/>
      <c r="J79" s="571"/>
      <c r="K79" s="571"/>
      <c r="L79" s="571"/>
      <c r="M79" s="571"/>
      <c r="N79" s="272"/>
      <c r="O79" s="628"/>
      <c r="P79" s="497"/>
    </row>
    <row r="80" spans="1:27" ht="56.25" customHeight="1" x14ac:dyDescent="0.25">
      <c r="A80" s="271" t="s">
        <v>370</v>
      </c>
      <c r="B80" s="626" t="s">
        <v>371</v>
      </c>
      <c r="C80" s="627"/>
      <c r="D80" s="627"/>
      <c r="E80" s="627"/>
      <c r="F80" s="627"/>
      <c r="G80" s="627"/>
      <c r="H80" s="628" t="s">
        <v>372</v>
      </c>
      <c r="I80" s="571"/>
      <c r="J80" s="571"/>
      <c r="K80" s="571"/>
      <c r="L80" s="571"/>
      <c r="M80" s="571"/>
      <c r="N80" s="271" t="s">
        <v>373</v>
      </c>
      <c r="O80" s="629">
        <v>36</v>
      </c>
      <c r="P80" s="630"/>
    </row>
    <row r="81" spans="1:16" ht="50.25" customHeight="1" x14ac:dyDescent="0.25">
      <c r="A81" s="271" t="s">
        <v>374</v>
      </c>
      <c r="B81" s="626" t="s">
        <v>375</v>
      </c>
      <c r="C81" s="627"/>
      <c r="D81" s="627"/>
      <c r="E81" s="627"/>
      <c r="F81" s="627"/>
      <c r="G81" s="627"/>
      <c r="H81" s="628" t="s">
        <v>376</v>
      </c>
      <c r="I81" s="571"/>
      <c r="J81" s="571"/>
      <c r="K81" s="571"/>
      <c r="L81" s="571"/>
      <c r="M81" s="571"/>
      <c r="N81" s="271" t="s">
        <v>373</v>
      </c>
      <c r="O81" s="628">
        <v>100</v>
      </c>
      <c r="P81" s="497"/>
    </row>
    <row r="82" spans="1:16" ht="71.25" customHeight="1" x14ac:dyDescent="0.25">
      <c r="A82" s="271" t="s">
        <v>377</v>
      </c>
      <c r="B82" s="626" t="s">
        <v>378</v>
      </c>
      <c r="C82" s="627"/>
      <c r="D82" s="627"/>
      <c r="E82" s="627"/>
      <c r="F82" s="627"/>
      <c r="G82" s="627"/>
      <c r="H82" s="628" t="s">
        <v>379</v>
      </c>
      <c r="I82" s="571"/>
      <c r="J82" s="571"/>
      <c r="K82" s="571"/>
      <c r="L82" s="571"/>
      <c r="M82" s="571"/>
      <c r="N82" s="271" t="s">
        <v>380</v>
      </c>
      <c r="O82" s="628">
        <v>3840.3</v>
      </c>
      <c r="P82" s="497"/>
    </row>
    <row r="83" spans="1:16" ht="60" customHeight="1" x14ac:dyDescent="0.25">
      <c r="A83" s="271" t="s">
        <v>381</v>
      </c>
      <c r="B83" s="626" t="s">
        <v>382</v>
      </c>
      <c r="C83" s="627"/>
      <c r="D83" s="627"/>
      <c r="E83" s="627"/>
      <c r="F83" s="627"/>
      <c r="G83" s="627"/>
      <c r="H83" s="628" t="s">
        <v>379</v>
      </c>
      <c r="I83" s="571"/>
      <c r="J83" s="571"/>
      <c r="K83" s="571"/>
      <c r="L83" s="571"/>
      <c r="M83" s="571"/>
      <c r="N83" s="271" t="s">
        <v>380</v>
      </c>
      <c r="O83" s="628" t="s">
        <v>383</v>
      </c>
      <c r="P83" s="497"/>
    </row>
    <row r="84" spans="1:16" ht="57" customHeight="1" x14ac:dyDescent="0.25">
      <c r="A84" s="271" t="s">
        <v>384</v>
      </c>
      <c r="B84" s="626" t="s">
        <v>385</v>
      </c>
      <c r="C84" s="627"/>
      <c r="D84" s="627"/>
      <c r="E84" s="627"/>
      <c r="F84" s="627"/>
      <c r="G84" s="627"/>
      <c r="H84" s="628" t="s">
        <v>386</v>
      </c>
      <c r="I84" s="571"/>
      <c r="J84" s="571"/>
      <c r="K84" s="571"/>
      <c r="L84" s="571"/>
      <c r="M84" s="571"/>
      <c r="N84" s="271" t="s">
        <v>387</v>
      </c>
      <c r="O84" s="628">
        <v>21</v>
      </c>
      <c r="P84" s="497"/>
    </row>
    <row r="85" spans="1:16" ht="53.25" customHeight="1" x14ac:dyDescent="0.25">
      <c r="A85" s="271" t="s">
        <v>388</v>
      </c>
      <c r="B85" s="626" t="s">
        <v>382</v>
      </c>
      <c r="C85" s="627"/>
      <c r="D85" s="627"/>
      <c r="E85" s="627"/>
      <c r="F85" s="627"/>
      <c r="G85" s="627"/>
      <c r="H85" s="628" t="s">
        <v>379</v>
      </c>
      <c r="I85" s="571"/>
      <c r="J85" s="571"/>
      <c r="K85" s="571"/>
      <c r="L85" s="571"/>
      <c r="M85" s="571"/>
      <c r="N85" s="271" t="s">
        <v>380</v>
      </c>
      <c r="O85" s="628">
        <v>823.48</v>
      </c>
      <c r="P85" s="497"/>
    </row>
    <row r="86" spans="1:16" ht="51" customHeight="1" x14ac:dyDescent="0.25">
      <c r="A86" s="271" t="s">
        <v>389</v>
      </c>
      <c r="B86" s="626" t="s">
        <v>390</v>
      </c>
      <c r="C86" s="627"/>
      <c r="D86" s="627"/>
      <c r="E86" s="627"/>
      <c r="F86" s="627"/>
      <c r="G86" s="627"/>
      <c r="H86" s="628" t="s">
        <v>391</v>
      </c>
      <c r="I86" s="571"/>
      <c r="J86" s="571"/>
      <c r="K86" s="571"/>
      <c r="L86" s="571"/>
      <c r="M86" s="571"/>
      <c r="N86" s="271" t="s">
        <v>392</v>
      </c>
      <c r="O86" s="628">
        <v>94</v>
      </c>
      <c r="P86" s="497"/>
    </row>
    <row r="87" spans="1:16" ht="56.25" customHeight="1" x14ac:dyDescent="0.25">
      <c r="A87" s="271" t="s">
        <v>393</v>
      </c>
      <c r="B87" s="626" t="s">
        <v>382</v>
      </c>
      <c r="C87" s="627"/>
      <c r="D87" s="627"/>
      <c r="E87" s="627"/>
      <c r="F87" s="627"/>
      <c r="G87" s="627"/>
      <c r="H87" s="628" t="s">
        <v>379</v>
      </c>
      <c r="I87" s="571"/>
      <c r="J87" s="571"/>
      <c r="K87" s="571"/>
      <c r="L87" s="571"/>
      <c r="M87" s="571"/>
      <c r="N87" s="271" t="s">
        <v>380</v>
      </c>
      <c r="O87" s="628">
        <v>1239.29</v>
      </c>
      <c r="P87" s="497"/>
    </row>
  </sheetData>
  <mergeCells count="70">
    <mergeCell ref="W4:X4"/>
    <mergeCell ref="A1:Y1"/>
    <mergeCell ref="A2:Y2"/>
    <mergeCell ref="A3:Z3"/>
    <mergeCell ref="A4:A5"/>
    <mergeCell ref="B4:B5"/>
    <mergeCell ref="C4:D4"/>
    <mergeCell ref="E4:F4"/>
    <mergeCell ref="G4:H4"/>
    <mergeCell ref="I4:J4"/>
    <mergeCell ref="K4:L4"/>
    <mergeCell ref="M4:N4"/>
    <mergeCell ref="O4:P4"/>
    <mergeCell ref="Q4:R4"/>
    <mergeCell ref="S4:T4"/>
    <mergeCell ref="U4:V4"/>
    <mergeCell ref="X43:Y43"/>
    <mergeCell ref="A41:Z41"/>
    <mergeCell ref="A42:Z42"/>
    <mergeCell ref="A43:A44"/>
    <mergeCell ref="B43:B44"/>
    <mergeCell ref="C43:C44"/>
    <mergeCell ref="D43:E43"/>
    <mergeCell ref="F43:G43"/>
    <mergeCell ref="H43:I43"/>
    <mergeCell ref="J43:K43"/>
    <mergeCell ref="L43:M43"/>
    <mergeCell ref="N43:O43"/>
    <mergeCell ref="P43:Q43"/>
    <mergeCell ref="R43:S43"/>
    <mergeCell ref="T43:U43"/>
    <mergeCell ref="V43:W43"/>
    <mergeCell ref="A76:A77"/>
    <mergeCell ref="B76:G77"/>
    <mergeCell ref="H76:M77"/>
    <mergeCell ref="N76:N77"/>
    <mergeCell ref="O76:P76"/>
    <mergeCell ref="O77:P77"/>
    <mergeCell ref="O81:P81"/>
    <mergeCell ref="B78:G78"/>
    <mergeCell ref="H78:M78"/>
    <mergeCell ref="O78:P78"/>
    <mergeCell ref="B79:G79"/>
    <mergeCell ref="H79:M79"/>
    <mergeCell ref="O79:P79"/>
    <mergeCell ref="B87:G87"/>
    <mergeCell ref="H87:M87"/>
    <mergeCell ref="O87:P87"/>
    <mergeCell ref="B84:G84"/>
    <mergeCell ref="H84:M84"/>
    <mergeCell ref="O84:P84"/>
    <mergeCell ref="B85:G85"/>
    <mergeCell ref="H85:M85"/>
    <mergeCell ref="O85:P85"/>
    <mergeCell ref="L72:P72"/>
    <mergeCell ref="L73:P73"/>
    <mergeCell ref="B86:G86"/>
    <mergeCell ref="H86:M86"/>
    <mergeCell ref="O86:P86"/>
    <mergeCell ref="B82:G82"/>
    <mergeCell ref="H82:M82"/>
    <mergeCell ref="O82:P82"/>
    <mergeCell ref="B83:G83"/>
    <mergeCell ref="H83:M83"/>
    <mergeCell ref="O83:P83"/>
    <mergeCell ref="B80:G80"/>
    <mergeCell ref="H80:M80"/>
    <mergeCell ref="O80:P80"/>
    <mergeCell ref="B81:G81"/>
    <mergeCell ref="H81:M8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topLeftCell="A91" workbookViewId="0">
      <selection activeCell="K96" sqref="K96"/>
    </sheetView>
  </sheetViews>
  <sheetFormatPr defaultRowHeight="15" x14ac:dyDescent="0.25"/>
  <cols>
    <col min="2" max="2" width="35" customWidth="1"/>
    <col min="3" max="3" width="17" customWidth="1"/>
    <col min="4" max="4" width="11.42578125" customWidth="1"/>
    <col min="5" max="5" width="15.140625" customWidth="1"/>
    <col min="6" max="6" width="16.42578125" customWidth="1"/>
    <col min="7" max="7" width="13.7109375" customWidth="1"/>
    <col min="8" max="8" width="11.42578125" bestFit="1" customWidth="1"/>
    <col min="9" max="9" width="13.28515625" customWidth="1"/>
    <col min="10" max="10" width="11.140625" customWidth="1"/>
    <col min="11" max="11" width="12.85546875" customWidth="1"/>
    <col min="12" max="12" width="12.7109375" customWidth="1"/>
    <col min="13" max="13" width="10.140625" customWidth="1"/>
    <col min="14" max="14" width="10.85546875" bestFit="1" customWidth="1"/>
    <col min="15" max="15" width="10.5703125" customWidth="1"/>
    <col min="16" max="16" width="10.85546875" customWidth="1"/>
    <col min="17" max="17" width="12.42578125" bestFit="1" customWidth="1"/>
  </cols>
  <sheetData>
    <row r="1" spans="1:17" ht="18.75" x14ac:dyDescent="0.25">
      <c r="A1" s="12" t="s">
        <v>563</v>
      </c>
    </row>
    <row r="3" spans="1:17" ht="60" x14ac:dyDescent="0.25">
      <c r="A3" s="292">
        <v>1</v>
      </c>
      <c r="B3" s="293" t="s">
        <v>556</v>
      </c>
      <c r="C3" s="654"/>
      <c r="D3" s="654"/>
      <c r="E3" s="294"/>
      <c r="F3" s="295" t="s">
        <v>559</v>
      </c>
      <c r="G3" s="1" t="s">
        <v>558</v>
      </c>
      <c r="H3" s="292">
        <v>312</v>
      </c>
      <c r="I3" s="2"/>
      <c r="J3" s="296" t="s">
        <v>557</v>
      </c>
      <c r="K3" s="297">
        <v>390000</v>
      </c>
      <c r="L3" s="305">
        <v>349000</v>
      </c>
      <c r="M3" s="2"/>
      <c r="N3" s="2"/>
      <c r="O3" s="113" t="s">
        <v>561</v>
      </c>
      <c r="P3" s="2" t="s">
        <v>560</v>
      </c>
    </row>
    <row r="4" spans="1:17" ht="78.75" customHeight="1" x14ac:dyDescent="0.25">
      <c r="A4" s="2"/>
      <c r="B4" s="293" t="s">
        <v>417</v>
      </c>
      <c r="C4" s="654"/>
      <c r="D4" s="654"/>
      <c r="E4" s="2"/>
      <c r="F4" s="2" t="s">
        <v>515</v>
      </c>
      <c r="G4" s="1" t="s">
        <v>42</v>
      </c>
      <c r="H4" s="299">
        <v>513.54</v>
      </c>
      <c r="I4" s="2"/>
      <c r="J4" s="296" t="s">
        <v>516</v>
      </c>
      <c r="K4" s="300">
        <v>667602</v>
      </c>
      <c r="L4" s="566"/>
      <c r="M4" s="566"/>
      <c r="N4" s="566"/>
      <c r="O4" s="566" t="s">
        <v>514</v>
      </c>
      <c r="P4" s="609" t="s">
        <v>513</v>
      </c>
    </row>
    <row r="5" spans="1:17" ht="47.25" customHeight="1" x14ac:dyDescent="0.25">
      <c r="A5" s="2"/>
      <c r="B5" s="293" t="s">
        <v>418</v>
      </c>
      <c r="C5" s="654"/>
      <c r="D5" s="654"/>
      <c r="E5" s="2"/>
      <c r="F5" s="2" t="s">
        <v>515</v>
      </c>
      <c r="G5" s="1" t="s">
        <v>42</v>
      </c>
      <c r="H5" s="299">
        <v>942.9</v>
      </c>
      <c r="I5" s="2"/>
      <c r="J5" s="296" t="s">
        <v>419</v>
      </c>
      <c r="K5" s="300">
        <v>1581122.77</v>
      </c>
      <c r="L5" s="609"/>
      <c r="M5" s="609"/>
      <c r="N5" s="609"/>
      <c r="O5" s="609"/>
      <c r="P5" s="609"/>
    </row>
    <row r="6" spans="1:17" ht="78.75" x14ac:dyDescent="0.25">
      <c r="A6" s="2"/>
      <c r="B6" s="301" t="s">
        <v>424</v>
      </c>
      <c r="C6" s="654"/>
      <c r="D6" s="654"/>
      <c r="E6" s="2"/>
      <c r="F6" s="2" t="s">
        <v>425</v>
      </c>
      <c r="G6" s="1" t="s">
        <v>42</v>
      </c>
      <c r="H6" s="299">
        <v>178.2</v>
      </c>
      <c r="I6" s="2"/>
      <c r="J6" s="302" t="s">
        <v>425</v>
      </c>
      <c r="K6" s="300">
        <v>426254.4</v>
      </c>
      <c r="L6" s="609"/>
      <c r="M6" s="609"/>
      <c r="N6" s="609"/>
      <c r="O6" s="609"/>
      <c r="P6" s="609"/>
    </row>
    <row r="7" spans="1:17" ht="40.5" customHeight="1" x14ac:dyDescent="0.25">
      <c r="A7" s="2"/>
      <c r="B7" s="648" t="s">
        <v>426</v>
      </c>
      <c r="C7" s="654"/>
      <c r="D7" s="654"/>
      <c r="E7" s="2"/>
      <c r="F7" s="2" t="s">
        <v>517</v>
      </c>
      <c r="G7" s="1" t="s">
        <v>63</v>
      </c>
      <c r="H7" s="303">
        <v>162</v>
      </c>
      <c r="I7" s="2"/>
      <c r="J7" s="302" t="s">
        <v>427</v>
      </c>
      <c r="K7" s="659">
        <v>147400</v>
      </c>
      <c r="L7" s="609"/>
      <c r="M7" s="609"/>
      <c r="N7" s="609"/>
      <c r="O7" s="609"/>
      <c r="P7" s="609"/>
    </row>
    <row r="8" spans="1:17" ht="47.25" customHeight="1" x14ac:dyDescent="0.25">
      <c r="A8" s="2"/>
      <c r="B8" s="648"/>
      <c r="C8" s="654"/>
      <c r="D8" s="654"/>
      <c r="E8" s="2"/>
      <c r="F8" s="2" t="s">
        <v>518</v>
      </c>
      <c r="G8" s="1" t="s">
        <v>42</v>
      </c>
      <c r="H8" s="303">
        <v>134</v>
      </c>
      <c r="I8" s="2"/>
      <c r="J8" s="302" t="s">
        <v>428</v>
      </c>
      <c r="K8" s="660"/>
      <c r="L8" s="609"/>
      <c r="M8" s="609"/>
      <c r="N8" s="609"/>
      <c r="O8" s="609"/>
      <c r="P8" s="609"/>
    </row>
    <row r="9" spans="1:17" ht="63" customHeight="1" x14ac:dyDescent="0.25">
      <c r="A9" s="2"/>
      <c r="B9" s="301" t="s">
        <v>433</v>
      </c>
      <c r="C9" s="654"/>
      <c r="D9" s="654"/>
      <c r="E9" s="2"/>
      <c r="F9" s="2" t="s">
        <v>549</v>
      </c>
      <c r="G9" s="1" t="s">
        <v>42</v>
      </c>
      <c r="H9" s="303">
        <v>120</v>
      </c>
      <c r="I9" s="2"/>
      <c r="J9" s="302" t="s">
        <v>434</v>
      </c>
      <c r="K9" s="312">
        <v>170000</v>
      </c>
      <c r="L9" s="301"/>
      <c r="M9" s="303"/>
      <c r="N9" s="303"/>
      <c r="O9" s="2"/>
      <c r="P9" s="2"/>
    </row>
    <row r="10" spans="1:17" ht="24" customHeight="1" x14ac:dyDescent="0.25">
      <c r="A10" s="2"/>
      <c r="B10" s="293"/>
      <c r="C10" s="304"/>
      <c r="D10" s="304"/>
      <c r="E10" s="2"/>
      <c r="F10" s="2" t="s">
        <v>519</v>
      </c>
      <c r="G10" s="1"/>
      <c r="H10" s="303"/>
      <c r="I10" s="2"/>
      <c r="J10" s="302"/>
      <c r="K10" s="298">
        <f>SUM(K4:K9)</f>
        <v>2992379.17</v>
      </c>
      <c r="L10" s="305">
        <v>2234433.83</v>
      </c>
      <c r="M10" s="303"/>
      <c r="N10" s="303"/>
      <c r="O10" s="2"/>
      <c r="P10" s="2"/>
    </row>
    <row r="11" spans="1:17" ht="79.5" customHeight="1" x14ac:dyDescent="0.25">
      <c r="A11" s="2"/>
      <c r="B11" s="318" t="s">
        <v>420</v>
      </c>
      <c r="C11" s="654"/>
      <c r="D11" s="654"/>
      <c r="E11" s="2"/>
      <c r="F11" s="2"/>
      <c r="G11" s="1" t="s">
        <v>42</v>
      </c>
      <c r="H11" s="303">
        <v>48</v>
      </c>
      <c r="I11" s="2"/>
      <c r="J11" s="302" t="s">
        <v>421</v>
      </c>
      <c r="K11" s="306">
        <v>62400</v>
      </c>
      <c r="L11" s="322"/>
      <c r="M11" s="303"/>
      <c r="N11" s="303"/>
      <c r="O11" s="2"/>
      <c r="P11" s="2"/>
      <c r="Q11" t="s">
        <v>568</v>
      </c>
    </row>
    <row r="12" spans="1:17" ht="47.25" x14ac:dyDescent="0.25">
      <c r="A12" s="2"/>
      <c r="B12" s="301" t="s">
        <v>422</v>
      </c>
      <c r="C12" s="654"/>
      <c r="D12" s="654"/>
      <c r="E12" s="2"/>
      <c r="F12" s="2"/>
      <c r="G12" s="1" t="s">
        <v>42</v>
      </c>
      <c r="H12" s="303">
        <v>212</v>
      </c>
      <c r="I12" s="2"/>
      <c r="J12" s="302" t="s">
        <v>423</v>
      </c>
      <c r="K12" s="307">
        <v>878897.88</v>
      </c>
      <c r="L12" s="650"/>
      <c r="M12" s="650"/>
      <c r="N12" s="650"/>
      <c r="O12" s="650" t="s">
        <v>44</v>
      </c>
      <c r="P12" s="657" t="s">
        <v>520</v>
      </c>
    </row>
    <row r="13" spans="1:17" ht="47.25" x14ac:dyDescent="0.25">
      <c r="A13" s="2"/>
      <c r="B13" s="301" t="s">
        <v>422</v>
      </c>
      <c r="C13" s="654"/>
      <c r="D13" s="654"/>
      <c r="E13" s="643"/>
      <c r="F13" s="643"/>
      <c r="G13" s="1" t="s">
        <v>42</v>
      </c>
      <c r="H13" s="308">
        <v>1902.8</v>
      </c>
      <c r="I13" s="2"/>
      <c r="J13" s="296" t="s">
        <v>435</v>
      </c>
      <c r="K13" s="309">
        <v>285420</v>
      </c>
      <c r="L13" s="609"/>
      <c r="M13" s="609"/>
      <c r="N13" s="609"/>
      <c r="O13" s="609"/>
      <c r="P13" s="658"/>
    </row>
    <row r="14" spans="1:17" ht="15.75" x14ac:dyDescent="0.25">
      <c r="A14" s="2"/>
      <c r="B14" s="301"/>
      <c r="C14" s="304"/>
      <c r="D14" s="304"/>
      <c r="E14" s="308"/>
      <c r="F14" s="2" t="s">
        <v>521</v>
      </c>
      <c r="G14" s="1"/>
      <c r="H14" s="308"/>
      <c r="I14" s="2"/>
      <c r="J14" s="296"/>
      <c r="K14" s="298">
        <f>SUM(K12:K13)</f>
        <v>1164317.8799999999</v>
      </c>
      <c r="L14" s="305">
        <v>977204.49</v>
      </c>
      <c r="M14" s="308"/>
      <c r="N14" s="308"/>
      <c r="O14" s="2"/>
      <c r="P14" s="2"/>
    </row>
    <row r="15" spans="1:17" ht="45.75" customHeight="1" x14ac:dyDescent="0.25">
      <c r="A15" s="2"/>
      <c r="B15" s="301" t="s">
        <v>429</v>
      </c>
      <c r="C15" s="654"/>
      <c r="D15" s="654"/>
      <c r="E15" s="2"/>
      <c r="F15" s="2"/>
      <c r="G15" s="1" t="s">
        <v>42</v>
      </c>
      <c r="H15" s="303">
        <v>25.2</v>
      </c>
      <c r="I15" s="2"/>
      <c r="J15" s="302" t="s">
        <v>430</v>
      </c>
      <c r="K15" s="307">
        <v>34020</v>
      </c>
      <c r="L15" s="566"/>
      <c r="M15" s="566"/>
      <c r="N15" s="566"/>
      <c r="O15" s="566" t="s">
        <v>44</v>
      </c>
      <c r="P15" s="566" t="s">
        <v>525</v>
      </c>
    </row>
    <row r="16" spans="1:17" ht="94.5" x14ac:dyDescent="0.25">
      <c r="A16" s="2"/>
      <c r="B16" s="301" t="s">
        <v>431</v>
      </c>
      <c r="C16" s="654"/>
      <c r="D16" s="654"/>
      <c r="E16" s="2"/>
      <c r="F16" s="2"/>
      <c r="G16" s="1" t="s">
        <v>42</v>
      </c>
      <c r="H16" s="303">
        <v>6.84</v>
      </c>
      <c r="I16" s="2"/>
      <c r="J16" s="302" t="s">
        <v>430</v>
      </c>
      <c r="K16" s="307">
        <v>9234</v>
      </c>
      <c r="L16" s="609"/>
      <c r="M16" s="609"/>
      <c r="N16" s="609"/>
      <c r="O16" s="609"/>
      <c r="P16" s="609"/>
    </row>
    <row r="17" spans="1:17" ht="15.75" x14ac:dyDescent="0.25">
      <c r="A17" s="2"/>
      <c r="B17" s="301"/>
      <c r="C17" s="304"/>
      <c r="D17" s="304"/>
      <c r="E17" s="2"/>
      <c r="F17" s="2" t="s">
        <v>540</v>
      </c>
      <c r="G17" s="1"/>
      <c r="H17" s="303"/>
      <c r="I17" s="2"/>
      <c r="J17" s="302"/>
      <c r="K17" s="320">
        <f>SUM(K15:K16)</f>
        <v>43254</v>
      </c>
      <c r="L17" s="305">
        <v>44260.79</v>
      </c>
      <c r="M17" s="303"/>
      <c r="N17" s="303"/>
      <c r="O17" s="2"/>
      <c r="P17" s="2"/>
      <c r="Q17" t="s">
        <v>569</v>
      </c>
    </row>
    <row r="18" spans="1:17" ht="48" customHeight="1" x14ac:dyDescent="0.25">
      <c r="A18" s="2"/>
      <c r="B18" s="301" t="s">
        <v>432</v>
      </c>
      <c r="C18" s="654"/>
      <c r="D18" s="654"/>
      <c r="E18" s="644"/>
      <c r="F18" s="644"/>
      <c r="G18" s="1" t="s">
        <v>42</v>
      </c>
      <c r="H18" s="303">
        <v>73.2</v>
      </c>
      <c r="I18" s="2"/>
      <c r="J18" s="302" t="s">
        <v>430</v>
      </c>
      <c r="K18" s="321">
        <v>98920</v>
      </c>
      <c r="L18" s="305">
        <v>97921.96</v>
      </c>
      <c r="M18" s="303"/>
      <c r="N18" s="303"/>
      <c r="O18" s="113" t="s">
        <v>44</v>
      </c>
      <c r="P18" s="2" t="s">
        <v>522</v>
      </c>
      <c r="Q18" t="s">
        <v>569</v>
      </c>
    </row>
    <row r="19" spans="1:17" ht="76.5" customHeight="1" x14ac:dyDescent="0.25">
      <c r="A19" s="2"/>
      <c r="B19" s="293" t="s">
        <v>436</v>
      </c>
      <c r="C19" s="654"/>
      <c r="D19" s="654"/>
      <c r="E19" s="654"/>
      <c r="F19" s="654"/>
      <c r="G19" s="1" t="s">
        <v>132</v>
      </c>
      <c r="H19" s="304" t="s">
        <v>132</v>
      </c>
      <c r="I19" s="2"/>
      <c r="J19" s="296" t="s">
        <v>437</v>
      </c>
      <c r="K19" s="319">
        <v>500000</v>
      </c>
      <c r="L19" s="305">
        <v>250508</v>
      </c>
      <c r="M19" s="304"/>
      <c r="N19" s="304"/>
      <c r="O19" s="113" t="s">
        <v>567</v>
      </c>
      <c r="P19" s="2" t="s">
        <v>566</v>
      </c>
    </row>
    <row r="20" spans="1:17" ht="126" customHeight="1" x14ac:dyDescent="0.25">
      <c r="A20" s="2"/>
      <c r="B20" s="648" t="s">
        <v>438</v>
      </c>
      <c r="C20" s="654"/>
      <c r="D20" s="654"/>
      <c r="E20" s="654"/>
      <c r="F20" s="654"/>
      <c r="G20" s="1" t="s">
        <v>439</v>
      </c>
      <c r="H20" s="304">
        <v>72.010000000000005</v>
      </c>
      <c r="I20" s="2"/>
      <c r="J20" s="296" t="s">
        <v>440</v>
      </c>
      <c r="K20" s="655">
        <v>4909244.7300000004</v>
      </c>
      <c r="L20" s="642">
        <v>4171800</v>
      </c>
      <c r="M20" s="643"/>
      <c r="N20" s="643"/>
      <c r="O20" s="643" t="s">
        <v>565</v>
      </c>
      <c r="P20" s="656" t="s">
        <v>564</v>
      </c>
    </row>
    <row r="21" spans="1:17" ht="63" customHeight="1" x14ac:dyDescent="0.25">
      <c r="A21" s="2"/>
      <c r="B21" s="648"/>
      <c r="C21" s="654"/>
      <c r="D21" s="654"/>
      <c r="E21" s="654"/>
      <c r="F21" s="654"/>
      <c r="G21" s="1"/>
      <c r="H21" s="304"/>
      <c r="I21" s="2"/>
      <c r="J21" s="296" t="s">
        <v>441</v>
      </c>
      <c r="K21" s="655"/>
      <c r="L21" s="642"/>
      <c r="M21" s="643"/>
      <c r="N21" s="643"/>
      <c r="O21" s="643"/>
      <c r="P21" s="656"/>
    </row>
    <row r="22" spans="1:17" ht="78.75" customHeight="1" x14ac:dyDescent="0.25">
      <c r="A22" s="2"/>
      <c r="B22" s="648"/>
      <c r="C22" s="654"/>
      <c r="D22" s="654"/>
      <c r="E22" s="654"/>
      <c r="F22" s="654"/>
      <c r="G22" s="1"/>
      <c r="H22" s="304"/>
      <c r="I22" s="2"/>
      <c r="J22" s="296" t="s">
        <v>442</v>
      </c>
      <c r="K22" s="655"/>
      <c r="L22" s="642"/>
      <c r="M22" s="643"/>
      <c r="N22" s="643"/>
      <c r="O22" s="643"/>
      <c r="P22" s="656"/>
    </row>
    <row r="23" spans="1:17" ht="47.25" customHeight="1" x14ac:dyDescent="0.25">
      <c r="A23" s="2"/>
      <c r="B23" s="648"/>
      <c r="C23" s="654"/>
      <c r="D23" s="654"/>
      <c r="E23" s="654"/>
      <c r="F23" s="654"/>
      <c r="G23" s="1"/>
      <c r="H23" s="304"/>
      <c r="I23" s="2"/>
      <c r="J23" s="296" t="s">
        <v>443</v>
      </c>
      <c r="K23" s="655"/>
      <c r="L23" s="642"/>
      <c r="M23" s="643"/>
      <c r="N23" s="643"/>
      <c r="O23" s="643"/>
      <c r="P23" s="656"/>
    </row>
    <row r="24" spans="1:17" ht="47.25" customHeight="1" x14ac:dyDescent="0.25">
      <c r="A24" s="2"/>
      <c r="B24" s="648"/>
      <c r="C24" s="654"/>
      <c r="D24" s="654"/>
      <c r="E24" s="654"/>
      <c r="F24" s="654"/>
      <c r="G24" s="1"/>
      <c r="H24" s="304"/>
      <c r="I24" s="2"/>
      <c r="J24" s="296" t="s">
        <v>444</v>
      </c>
      <c r="K24" s="655"/>
      <c r="L24" s="642"/>
      <c r="M24" s="643"/>
      <c r="N24" s="643"/>
      <c r="O24" s="643"/>
      <c r="P24" s="656"/>
    </row>
    <row r="25" spans="1:17" ht="47.25" customHeight="1" x14ac:dyDescent="0.25">
      <c r="A25" s="2"/>
      <c r="B25" s="293" t="s">
        <v>445</v>
      </c>
      <c r="C25" s="654"/>
      <c r="D25" s="654"/>
      <c r="E25" s="654"/>
      <c r="F25" s="654"/>
      <c r="G25" s="1" t="s">
        <v>42</v>
      </c>
      <c r="H25" s="304">
        <v>19</v>
      </c>
      <c r="I25" s="2">
        <v>19</v>
      </c>
      <c r="J25" s="296" t="s">
        <v>446</v>
      </c>
      <c r="K25" s="309">
        <v>21528</v>
      </c>
      <c r="L25" s="305">
        <v>21528</v>
      </c>
      <c r="M25" s="304"/>
      <c r="N25" s="304"/>
      <c r="O25" s="113" t="s">
        <v>44</v>
      </c>
      <c r="P25" s="2" t="s">
        <v>523</v>
      </c>
    </row>
    <row r="26" spans="1:17" ht="110.25" customHeight="1" x14ac:dyDescent="0.25">
      <c r="A26" s="2"/>
      <c r="B26" s="293" t="s">
        <v>417</v>
      </c>
      <c r="C26" s="654"/>
      <c r="D26" s="654"/>
      <c r="E26" s="643"/>
      <c r="F26" s="643"/>
      <c r="G26" s="1" t="s">
        <v>42</v>
      </c>
      <c r="H26" s="308">
        <v>3026.78</v>
      </c>
      <c r="I26" s="2">
        <v>3026.78</v>
      </c>
      <c r="J26" s="296" t="s">
        <v>447</v>
      </c>
      <c r="K26" s="319">
        <v>3934814</v>
      </c>
      <c r="L26" s="305">
        <v>3520030.79</v>
      </c>
      <c r="M26" s="308"/>
      <c r="N26" s="308"/>
      <c r="O26" s="2" t="s">
        <v>154</v>
      </c>
      <c r="P26" s="2" t="s">
        <v>524</v>
      </c>
      <c r="Q26" t="s">
        <v>569</v>
      </c>
    </row>
    <row r="27" spans="1:17" ht="16.5" customHeight="1" x14ac:dyDescent="0.25">
      <c r="A27" s="2"/>
      <c r="B27" s="310" t="s">
        <v>448</v>
      </c>
      <c r="C27" s="644"/>
      <c r="D27" s="644"/>
      <c r="E27" s="644"/>
      <c r="F27" s="644"/>
      <c r="G27" s="1" t="s">
        <v>42</v>
      </c>
      <c r="H27" s="303">
        <v>58.25</v>
      </c>
      <c r="I27" s="2">
        <v>58.25</v>
      </c>
      <c r="J27" s="296" t="s">
        <v>449</v>
      </c>
      <c r="K27" s="307">
        <v>48930</v>
      </c>
      <c r="L27" s="653"/>
      <c r="M27" s="648"/>
      <c r="N27" s="648"/>
      <c r="O27" s="648" t="s">
        <v>44</v>
      </c>
      <c r="P27" s="648" t="s">
        <v>544</v>
      </c>
    </row>
    <row r="28" spans="1:17" ht="16.5" customHeight="1" x14ac:dyDescent="0.25">
      <c r="A28" s="2"/>
      <c r="B28" s="310" t="s">
        <v>450</v>
      </c>
      <c r="C28" s="644"/>
      <c r="D28" s="644"/>
      <c r="E28" s="644"/>
      <c r="F28" s="644"/>
      <c r="G28" s="1" t="s">
        <v>42</v>
      </c>
      <c r="H28" s="303">
        <v>219.75</v>
      </c>
      <c r="I28" s="2">
        <v>219.75</v>
      </c>
      <c r="J28" s="296" t="s">
        <v>449</v>
      </c>
      <c r="K28" s="307">
        <v>184590</v>
      </c>
      <c r="L28" s="575"/>
      <c r="M28" s="566"/>
      <c r="N28" s="566"/>
      <c r="O28" s="566"/>
      <c r="P28" s="566"/>
    </row>
    <row r="29" spans="1:17" ht="16.5" customHeight="1" x14ac:dyDescent="0.25">
      <c r="A29" s="2"/>
      <c r="B29" s="310" t="s">
        <v>451</v>
      </c>
      <c r="C29" s="644"/>
      <c r="D29" s="644"/>
      <c r="E29" s="644"/>
      <c r="F29" s="644"/>
      <c r="G29" s="1" t="s">
        <v>42</v>
      </c>
      <c r="H29" s="303">
        <v>140.5</v>
      </c>
      <c r="I29" s="2">
        <v>140.5</v>
      </c>
      <c r="J29" s="296" t="s">
        <v>449</v>
      </c>
      <c r="K29" s="307">
        <v>118020</v>
      </c>
      <c r="L29" s="575"/>
      <c r="M29" s="566"/>
      <c r="N29" s="566"/>
      <c r="O29" s="566"/>
      <c r="P29" s="566"/>
    </row>
    <row r="30" spans="1:17" ht="16.5" customHeight="1" x14ac:dyDescent="0.25">
      <c r="A30" s="2"/>
      <c r="B30" s="310" t="s">
        <v>452</v>
      </c>
      <c r="C30" s="644"/>
      <c r="D30" s="644"/>
      <c r="E30" s="644"/>
      <c r="F30" s="644"/>
      <c r="G30" s="1" t="s">
        <v>42</v>
      </c>
      <c r="H30" s="303">
        <v>42</v>
      </c>
      <c r="I30" s="2">
        <v>42</v>
      </c>
      <c r="J30" s="296" t="s">
        <v>449</v>
      </c>
      <c r="K30" s="307">
        <v>35280</v>
      </c>
      <c r="L30" s="575"/>
      <c r="M30" s="566"/>
      <c r="N30" s="566"/>
      <c r="O30" s="566"/>
      <c r="P30" s="566"/>
    </row>
    <row r="31" spans="1:17" ht="16.5" customHeight="1" x14ac:dyDescent="0.25">
      <c r="A31" s="2"/>
      <c r="B31" s="310" t="s">
        <v>453</v>
      </c>
      <c r="C31" s="644"/>
      <c r="D31" s="644"/>
      <c r="E31" s="644"/>
      <c r="F31" s="644"/>
      <c r="G31" s="1" t="s">
        <v>42</v>
      </c>
      <c r="H31" s="303">
        <v>58</v>
      </c>
      <c r="I31" s="2">
        <v>58</v>
      </c>
      <c r="J31" s="296" t="s">
        <v>449</v>
      </c>
      <c r="K31" s="307">
        <v>48720</v>
      </c>
      <c r="L31" s="575"/>
      <c r="M31" s="566"/>
      <c r="N31" s="566"/>
      <c r="O31" s="566"/>
      <c r="P31" s="566"/>
    </row>
    <row r="32" spans="1:17" ht="16.5" customHeight="1" x14ac:dyDescent="0.25">
      <c r="A32" s="2"/>
      <c r="B32" s="310" t="s">
        <v>454</v>
      </c>
      <c r="C32" s="644"/>
      <c r="D32" s="644"/>
      <c r="E32" s="644"/>
      <c r="F32" s="644"/>
      <c r="G32" s="1" t="s">
        <v>42</v>
      </c>
      <c r="H32" s="303">
        <v>25.45</v>
      </c>
      <c r="I32" s="2">
        <v>25.45</v>
      </c>
      <c r="J32" s="296" t="s">
        <v>449</v>
      </c>
      <c r="K32" s="307">
        <v>21378</v>
      </c>
      <c r="L32" s="575"/>
      <c r="M32" s="566"/>
      <c r="N32" s="566"/>
      <c r="O32" s="566"/>
      <c r="P32" s="566"/>
    </row>
    <row r="33" spans="1:16" ht="16.5" customHeight="1" x14ac:dyDescent="0.25">
      <c r="A33" s="2"/>
      <c r="B33" s="310" t="s">
        <v>455</v>
      </c>
      <c r="C33" s="644"/>
      <c r="D33" s="644"/>
      <c r="E33" s="644"/>
      <c r="F33" s="644"/>
      <c r="G33" s="1" t="s">
        <v>42</v>
      </c>
      <c r="H33" s="303">
        <v>74.81</v>
      </c>
      <c r="I33" s="2">
        <v>74.81</v>
      </c>
      <c r="J33" s="296" t="s">
        <v>449</v>
      </c>
      <c r="K33" s="307">
        <v>62840.4</v>
      </c>
      <c r="L33" s="575"/>
      <c r="M33" s="566"/>
      <c r="N33" s="566"/>
      <c r="O33" s="566"/>
      <c r="P33" s="566"/>
    </row>
    <row r="34" spans="1:16" ht="16.5" customHeight="1" x14ac:dyDescent="0.25">
      <c r="A34" s="2"/>
      <c r="B34" s="310" t="s">
        <v>456</v>
      </c>
      <c r="C34" s="644"/>
      <c r="D34" s="644"/>
      <c r="E34" s="644"/>
      <c r="F34" s="644"/>
      <c r="G34" s="1" t="s">
        <v>42</v>
      </c>
      <c r="H34" s="303">
        <v>69.81</v>
      </c>
      <c r="I34" s="2">
        <v>69.81</v>
      </c>
      <c r="J34" s="296" t="s">
        <v>449</v>
      </c>
      <c r="K34" s="307">
        <v>58640.4</v>
      </c>
      <c r="L34" s="575"/>
      <c r="M34" s="566"/>
      <c r="N34" s="566"/>
      <c r="O34" s="566"/>
      <c r="P34" s="566"/>
    </row>
    <row r="35" spans="1:16" ht="16.5" customHeight="1" x14ac:dyDescent="0.25">
      <c r="A35" s="2"/>
      <c r="B35" s="310" t="s">
        <v>457</v>
      </c>
      <c r="C35" s="644"/>
      <c r="D35" s="644"/>
      <c r="E35" s="644"/>
      <c r="F35" s="644"/>
      <c r="G35" s="1" t="s">
        <v>42</v>
      </c>
      <c r="H35" s="303">
        <v>79.81</v>
      </c>
      <c r="I35" s="2">
        <v>79.81</v>
      </c>
      <c r="J35" s="296" t="s">
        <v>449</v>
      </c>
      <c r="K35" s="307">
        <v>67040.399999999994</v>
      </c>
      <c r="L35" s="575"/>
      <c r="M35" s="566"/>
      <c r="N35" s="566"/>
      <c r="O35" s="566"/>
      <c r="P35" s="566"/>
    </row>
    <row r="36" spans="1:16" ht="16.5" customHeight="1" x14ac:dyDescent="0.25">
      <c r="A36" s="2"/>
      <c r="B36" s="310" t="s">
        <v>458</v>
      </c>
      <c r="C36" s="644"/>
      <c r="D36" s="644"/>
      <c r="E36" s="644"/>
      <c r="F36" s="644"/>
      <c r="G36" s="1" t="s">
        <v>42</v>
      </c>
      <c r="H36" s="303">
        <v>84.81</v>
      </c>
      <c r="I36" s="2">
        <v>84.81</v>
      </c>
      <c r="J36" s="296" t="s">
        <v>449</v>
      </c>
      <c r="K36" s="307">
        <v>71240.399999999994</v>
      </c>
      <c r="L36" s="575"/>
      <c r="M36" s="566"/>
      <c r="N36" s="566"/>
      <c r="O36" s="566"/>
      <c r="P36" s="566"/>
    </row>
    <row r="37" spans="1:16" ht="16.5" customHeight="1" x14ac:dyDescent="0.25">
      <c r="A37" s="2"/>
      <c r="B37" s="310" t="s">
        <v>459</v>
      </c>
      <c r="C37" s="644"/>
      <c r="D37" s="644"/>
      <c r="E37" s="644"/>
      <c r="F37" s="644"/>
      <c r="G37" s="1" t="s">
        <v>42</v>
      </c>
      <c r="H37" s="303">
        <v>1.6</v>
      </c>
      <c r="I37" s="2">
        <v>1.6</v>
      </c>
      <c r="J37" s="296" t="s">
        <v>449</v>
      </c>
      <c r="K37" s="307">
        <v>1344</v>
      </c>
      <c r="L37" s="575"/>
      <c r="M37" s="566"/>
      <c r="N37" s="566"/>
      <c r="O37" s="566"/>
      <c r="P37" s="566"/>
    </row>
    <row r="38" spans="1:16" ht="16.5" customHeight="1" x14ac:dyDescent="0.25">
      <c r="A38" s="2"/>
      <c r="B38" s="310" t="s">
        <v>460</v>
      </c>
      <c r="C38" s="644"/>
      <c r="D38" s="644"/>
      <c r="E38" s="644"/>
      <c r="F38" s="644"/>
      <c r="G38" s="1" t="s">
        <v>42</v>
      </c>
      <c r="H38" s="303">
        <v>9</v>
      </c>
      <c r="I38" s="2">
        <v>9</v>
      </c>
      <c r="J38" s="296" t="s">
        <v>449</v>
      </c>
      <c r="K38" s="307">
        <v>7560</v>
      </c>
      <c r="L38" s="575"/>
      <c r="M38" s="566"/>
      <c r="N38" s="566"/>
      <c r="O38" s="566"/>
      <c r="P38" s="566"/>
    </row>
    <row r="39" spans="1:16" ht="16.5" customHeight="1" x14ac:dyDescent="0.25">
      <c r="A39" s="2"/>
      <c r="B39" s="310" t="s">
        <v>461</v>
      </c>
      <c r="C39" s="644"/>
      <c r="D39" s="644"/>
      <c r="E39" s="644"/>
      <c r="F39" s="644"/>
      <c r="G39" s="1" t="s">
        <v>42</v>
      </c>
      <c r="H39" s="303">
        <v>8</v>
      </c>
      <c r="I39" s="2">
        <v>8</v>
      </c>
      <c r="J39" s="296" t="s">
        <v>449</v>
      </c>
      <c r="K39" s="307">
        <v>6720</v>
      </c>
      <c r="L39" s="575"/>
      <c r="M39" s="566"/>
      <c r="N39" s="566"/>
      <c r="O39" s="566"/>
      <c r="P39" s="566"/>
    </row>
    <row r="40" spans="1:16" ht="16.5" customHeight="1" x14ac:dyDescent="0.25">
      <c r="A40" s="2"/>
      <c r="B40" s="310" t="s">
        <v>462</v>
      </c>
      <c r="C40" s="644"/>
      <c r="D40" s="644"/>
      <c r="E40" s="644"/>
      <c r="F40" s="644"/>
      <c r="G40" s="1" t="s">
        <v>42</v>
      </c>
      <c r="H40" s="303">
        <v>2</v>
      </c>
      <c r="I40" s="2">
        <v>2</v>
      </c>
      <c r="J40" s="296" t="s">
        <v>449</v>
      </c>
      <c r="K40" s="307">
        <v>1680</v>
      </c>
      <c r="L40" s="575"/>
      <c r="M40" s="566"/>
      <c r="N40" s="566"/>
      <c r="O40" s="566"/>
      <c r="P40" s="566"/>
    </row>
    <row r="41" spans="1:16" ht="16.5" customHeight="1" x14ac:dyDescent="0.25">
      <c r="A41" s="2"/>
      <c r="B41" s="310" t="s">
        <v>463</v>
      </c>
      <c r="C41" s="644"/>
      <c r="D41" s="644"/>
      <c r="E41" s="644"/>
      <c r="F41" s="644"/>
      <c r="G41" s="1" t="s">
        <v>42</v>
      </c>
      <c r="H41" s="303">
        <v>23.2</v>
      </c>
      <c r="I41" s="2">
        <v>23.2</v>
      </c>
      <c r="J41" s="296" t="s">
        <v>449</v>
      </c>
      <c r="K41" s="307">
        <v>19488</v>
      </c>
      <c r="L41" s="575"/>
      <c r="M41" s="566"/>
      <c r="N41" s="566"/>
      <c r="O41" s="566"/>
      <c r="P41" s="566"/>
    </row>
    <row r="42" spans="1:16" ht="16.5" customHeight="1" x14ac:dyDescent="0.25">
      <c r="A42" s="2"/>
      <c r="B42" s="310" t="s">
        <v>464</v>
      </c>
      <c r="C42" s="644"/>
      <c r="D42" s="644"/>
      <c r="E42" s="644"/>
      <c r="F42" s="644"/>
      <c r="G42" s="1" t="s">
        <v>42</v>
      </c>
      <c r="H42" s="303">
        <v>1</v>
      </c>
      <c r="I42" s="2">
        <v>1</v>
      </c>
      <c r="J42" s="296" t="s">
        <v>449</v>
      </c>
      <c r="K42" s="311">
        <v>840</v>
      </c>
      <c r="L42" s="575"/>
      <c r="M42" s="566"/>
      <c r="N42" s="566"/>
      <c r="O42" s="566"/>
      <c r="P42" s="566"/>
    </row>
    <row r="43" spans="1:16" ht="16.5" customHeight="1" x14ac:dyDescent="0.25">
      <c r="A43" s="2"/>
      <c r="B43" s="310" t="s">
        <v>465</v>
      </c>
      <c r="C43" s="644"/>
      <c r="D43" s="644"/>
      <c r="E43" s="644"/>
      <c r="F43" s="644"/>
      <c r="G43" s="1" t="s">
        <v>42</v>
      </c>
      <c r="H43" s="303">
        <v>1.5</v>
      </c>
      <c r="I43" s="2">
        <v>1.5</v>
      </c>
      <c r="J43" s="296" t="s">
        <v>449</v>
      </c>
      <c r="K43" s="307">
        <v>1260</v>
      </c>
      <c r="L43" s="575"/>
      <c r="M43" s="566"/>
      <c r="N43" s="566"/>
      <c r="O43" s="566"/>
      <c r="P43" s="566"/>
    </row>
    <row r="44" spans="1:16" ht="16.5" customHeight="1" x14ac:dyDescent="0.25">
      <c r="A44" s="2"/>
      <c r="B44" s="310" t="s">
        <v>466</v>
      </c>
      <c r="C44" s="644"/>
      <c r="D44" s="644"/>
      <c r="E44" s="644"/>
      <c r="F44" s="644"/>
      <c r="G44" s="1" t="s">
        <v>42</v>
      </c>
      <c r="H44" s="303">
        <v>1.5</v>
      </c>
      <c r="I44" s="2">
        <v>1.5</v>
      </c>
      <c r="J44" s="296" t="s">
        <v>449</v>
      </c>
      <c r="K44" s="307">
        <v>1260</v>
      </c>
      <c r="L44" s="575"/>
      <c r="M44" s="566"/>
      <c r="N44" s="566"/>
      <c r="O44" s="566"/>
      <c r="P44" s="566"/>
    </row>
    <row r="45" spans="1:16" ht="16.5" customHeight="1" x14ac:dyDescent="0.25">
      <c r="A45" s="2"/>
      <c r="B45" s="310" t="s">
        <v>467</v>
      </c>
      <c r="C45" s="644"/>
      <c r="D45" s="644"/>
      <c r="E45" s="644"/>
      <c r="F45" s="644"/>
      <c r="G45" s="1" t="s">
        <v>42</v>
      </c>
      <c r="H45" s="303">
        <v>0.2</v>
      </c>
      <c r="I45" s="2">
        <v>0.2</v>
      </c>
      <c r="J45" s="296" t="s">
        <v>449</v>
      </c>
      <c r="K45" s="311">
        <v>168</v>
      </c>
      <c r="L45" s="575"/>
      <c r="M45" s="566"/>
      <c r="N45" s="566"/>
      <c r="O45" s="566"/>
      <c r="P45" s="566"/>
    </row>
    <row r="46" spans="1:16" ht="16.5" customHeight="1" x14ac:dyDescent="0.25">
      <c r="A46" s="2"/>
      <c r="B46" s="310" t="s">
        <v>468</v>
      </c>
      <c r="C46" s="644"/>
      <c r="D46" s="644"/>
      <c r="E46" s="644"/>
      <c r="F46" s="644"/>
      <c r="G46" s="1" t="s">
        <v>42</v>
      </c>
      <c r="H46" s="303">
        <v>6</v>
      </c>
      <c r="I46" s="2">
        <v>6</v>
      </c>
      <c r="J46" s="296" t="s">
        <v>449</v>
      </c>
      <c r="K46" s="307">
        <v>5040</v>
      </c>
      <c r="L46" s="575"/>
      <c r="M46" s="566"/>
      <c r="N46" s="566"/>
      <c r="O46" s="566"/>
      <c r="P46" s="566"/>
    </row>
    <row r="47" spans="1:16" ht="16.5" customHeight="1" x14ac:dyDescent="0.25">
      <c r="A47" s="2"/>
      <c r="B47" s="310" t="s">
        <v>469</v>
      </c>
      <c r="C47" s="644"/>
      <c r="D47" s="644"/>
      <c r="E47" s="644"/>
      <c r="F47" s="644"/>
      <c r="G47" s="1" t="s">
        <v>42</v>
      </c>
      <c r="H47" s="303">
        <v>17</v>
      </c>
      <c r="I47" s="2">
        <v>17</v>
      </c>
      <c r="J47" s="296" t="s">
        <v>449</v>
      </c>
      <c r="K47" s="307">
        <v>14280</v>
      </c>
      <c r="L47" s="575"/>
      <c r="M47" s="566"/>
      <c r="N47" s="566"/>
      <c r="O47" s="566"/>
      <c r="P47" s="566"/>
    </row>
    <row r="48" spans="1:16" ht="16.5" customHeight="1" x14ac:dyDescent="0.25">
      <c r="A48" s="2"/>
      <c r="B48" s="310" t="s">
        <v>470</v>
      </c>
      <c r="C48" s="644"/>
      <c r="D48" s="644"/>
      <c r="E48" s="644"/>
      <c r="F48" s="644"/>
      <c r="G48" s="1" t="s">
        <v>42</v>
      </c>
      <c r="H48" s="303">
        <v>3</v>
      </c>
      <c r="I48" s="2">
        <v>3</v>
      </c>
      <c r="J48" s="296" t="s">
        <v>449</v>
      </c>
      <c r="K48" s="307">
        <v>2520</v>
      </c>
      <c r="L48" s="575"/>
      <c r="M48" s="566"/>
      <c r="N48" s="566"/>
      <c r="O48" s="566"/>
      <c r="P48" s="566"/>
    </row>
    <row r="49" spans="1:18" ht="16.5" customHeight="1" x14ac:dyDescent="0.25">
      <c r="A49" s="2"/>
      <c r="B49" s="310" t="s">
        <v>471</v>
      </c>
      <c r="C49" s="644"/>
      <c r="D49" s="644"/>
      <c r="E49" s="644"/>
      <c r="F49" s="644"/>
      <c r="G49" s="1" t="s">
        <v>42</v>
      </c>
      <c r="H49" s="303">
        <v>2</v>
      </c>
      <c r="I49" s="2">
        <v>2</v>
      </c>
      <c r="J49" s="296" t="s">
        <v>449</v>
      </c>
      <c r="K49" s="307">
        <v>1680</v>
      </c>
      <c r="L49" s="575"/>
      <c r="M49" s="566"/>
      <c r="N49" s="566"/>
      <c r="O49" s="566"/>
      <c r="P49" s="566"/>
    </row>
    <row r="50" spans="1:18" ht="31.5" customHeight="1" x14ac:dyDescent="0.25">
      <c r="A50" s="2"/>
      <c r="B50" s="293" t="s">
        <v>404</v>
      </c>
      <c r="C50" s="644"/>
      <c r="D50" s="644"/>
      <c r="E50" s="644"/>
      <c r="F50" s="644"/>
      <c r="G50" s="1" t="s">
        <v>42</v>
      </c>
      <c r="H50" s="303">
        <v>130</v>
      </c>
      <c r="I50" s="2">
        <v>130</v>
      </c>
      <c r="J50" s="296" t="s">
        <v>472</v>
      </c>
      <c r="K50" s="307">
        <v>173424.5</v>
      </c>
      <c r="L50" s="575"/>
      <c r="M50" s="566"/>
      <c r="N50" s="566"/>
      <c r="O50" s="566"/>
      <c r="P50" s="566"/>
    </row>
    <row r="51" spans="1:18" ht="31.5" x14ac:dyDescent="0.25">
      <c r="A51" s="2"/>
      <c r="B51" s="293" t="s">
        <v>500</v>
      </c>
      <c r="C51" s="644"/>
      <c r="D51" s="644"/>
      <c r="E51" s="644"/>
      <c r="F51" s="644"/>
      <c r="G51" s="1" t="s">
        <v>42</v>
      </c>
      <c r="H51" s="303">
        <v>692</v>
      </c>
      <c r="I51" s="2">
        <v>692</v>
      </c>
      <c r="J51" s="296" t="s">
        <v>479</v>
      </c>
      <c r="K51" s="307">
        <v>594396.89</v>
      </c>
      <c r="L51" s="575"/>
      <c r="M51" s="566"/>
      <c r="N51" s="566"/>
      <c r="O51" s="566"/>
      <c r="P51" s="566"/>
      <c r="Q51" s="8"/>
    </row>
    <row r="52" spans="1:18" ht="63" x14ac:dyDescent="0.25">
      <c r="A52" s="2"/>
      <c r="B52" s="272" t="s">
        <v>478</v>
      </c>
      <c r="C52" s="644"/>
      <c r="D52" s="644"/>
      <c r="E52" s="644"/>
      <c r="F52" s="644"/>
      <c r="G52" s="1" t="s">
        <v>42</v>
      </c>
      <c r="H52" s="303">
        <v>114</v>
      </c>
      <c r="I52" s="2"/>
      <c r="J52" s="296" t="s">
        <v>479</v>
      </c>
      <c r="K52" s="309">
        <v>86640</v>
      </c>
      <c r="L52" s="576"/>
      <c r="M52" s="303"/>
      <c r="N52" s="303"/>
      <c r="O52" s="2"/>
      <c r="P52" s="2"/>
    </row>
    <row r="53" spans="1:18" ht="22.5" customHeight="1" x14ac:dyDescent="0.25">
      <c r="A53" s="2"/>
      <c r="B53" s="293"/>
      <c r="C53" s="303"/>
      <c r="D53" s="303"/>
      <c r="E53" s="303"/>
      <c r="F53" s="2" t="s">
        <v>543</v>
      </c>
      <c r="G53" s="1"/>
      <c r="H53" s="303"/>
      <c r="I53" s="2"/>
      <c r="J53" s="296"/>
      <c r="K53" s="320">
        <f>SUM(K27:K52)</f>
        <v>1634980.9900000002</v>
      </c>
      <c r="L53" s="305">
        <v>1545000</v>
      </c>
      <c r="M53" s="303"/>
      <c r="N53" s="303"/>
      <c r="O53" s="2"/>
      <c r="P53" s="2"/>
      <c r="Q53" s="8" t="s">
        <v>569</v>
      </c>
      <c r="R53" s="8">
        <f>K53-L53</f>
        <v>89980.990000000224</v>
      </c>
    </row>
    <row r="54" spans="1:18" ht="36" customHeight="1" x14ac:dyDescent="0.25">
      <c r="A54" s="2"/>
      <c r="B54" s="648" t="s">
        <v>473</v>
      </c>
      <c r="C54" s="644"/>
      <c r="D54" s="644"/>
      <c r="E54" s="644" t="s">
        <v>77</v>
      </c>
      <c r="F54" s="644"/>
      <c r="G54" s="1" t="s">
        <v>42</v>
      </c>
      <c r="H54" s="303">
        <v>400</v>
      </c>
      <c r="I54" s="2"/>
      <c r="J54" s="302" t="s">
        <v>474</v>
      </c>
      <c r="K54" s="307">
        <v>1364007</v>
      </c>
      <c r="L54" s="301"/>
      <c r="M54" s="303"/>
      <c r="N54" s="303"/>
      <c r="O54" s="571" t="s">
        <v>534</v>
      </c>
      <c r="P54" s="571" t="s">
        <v>535</v>
      </c>
    </row>
    <row r="55" spans="1:18" ht="28.5" customHeight="1" x14ac:dyDescent="0.25">
      <c r="A55" s="2"/>
      <c r="B55" s="648"/>
      <c r="C55" s="644"/>
      <c r="D55" s="644"/>
      <c r="E55" s="644" t="s">
        <v>536</v>
      </c>
      <c r="F55" s="644"/>
      <c r="G55" s="1" t="s">
        <v>42</v>
      </c>
      <c r="H55" s="311">
        <v>400</v>
      </c>
      <c r="I55" s="2"/>
      <c r="J55" s="302" t="s">
        <v>475</v>
      </c>
      <c r="K55" s="307">
        <v>82372</v>
      </c>
      <c r="L55" s="301"/>
      <c r="M55" s="303"/>
      <c r="N55" s="303"/>
      <c r="O55" s="571"/>
      <c r="P55" s="571"/>
    </row>
    <row r="56" spans="1:18" ht="27.75" customHeight="1" x14ac:dyDescent="0.25">
      <c r="A56" s="2"/>
      <c r="B56" s="648"/>
      <c r="C56" s="644"/>
      <c r="D56" s="644"/>
      <c r="E56" s="644" t="s">
        <v>537</v>
      </c>
      <c r="F56" s="644"/>
      <c r="G56" s="1" t="s">
        <v>63</v>
      </c>
      <c r="H56" s="303">
        <v>55</v>
      </c>
      <c r="I56" s="2"/>
      <c r="J56" s="302" t="s">
        <v>476</v>
      </c>
      <c r="K56" s="307">
        <v>34196</v>
      </c>
      <c r="L56" s="301"/>
      <c r="M56" s="303"/>
      <c r="N56" s="303"/>
      <c r="O56" s="571"/>
      <c r="P56" s="571"/>
    </row>
    <row r="57" spans="1:18" ht="30.75" customHeight="1" x14ac:dyDescent="0.25">
      <c r="A57" s="2"/>
      <c r="B57" s="648"/>
      <c r="C57" s="644"/>
      <c r="D57" s="644"/>
      <c r="E57" s="644" t="s">
        <v>538</v>
      </c>
      <c r="F57" s="644"/>
      <c r="G57" s="1" t="s">
        <v>243</v>
      </c>
      <c r="H57" s="303">
        <v>100</v>
      </c>
      <c r="I57" s="2"/>
      <c r="J57" s="302" t="s">
        <v>477</v>
      </c>
      <c r="K57" s="307">
        <v>136625</v>
      </c>
      <c r="L57" s="301"/>
      <c r="M57" s="303"/>
      <c r="N57" s="303"/>
      <c r="O57" s="571"/>
      <c r="P57" s="571"/>
    </row>
    <row r="58" spans="1:18" ht="16.5" customHeight="1" x14ac:dyDescent="0.25">
      <c r="A58" s="2"/>
      <c r="B58" s="293"/>
      <c r="C58" s="303"/>
      <c r="D58" s="303"/>
      <c r="E58" s="303"/>
      <c r="F58" s="2" t="s">
        <v>539</v>
      </c>
      <c r="G58" s="1"/>
      <c r="H58" s="303"/>
      <c r="I58" s="2"/>
      <c r="J58" s="302"/>
      <c r="K58" s="320">
        <f>SUM(K54:K57)</f>
        <v>1617200</v>
      </c>
      <c r="L58" s="305">
        <v>1492552.04</v>
      </c>
      <c r="M58" s="303"/>
      <c r="N58" s="303"/>
      <c r="O58" s="2"/>
      <c r="P58" s="2"/>
    </row>
    <row r="59" spans="1:18" ht="62.25" customHeight="1" x14ac:dyDescent="0.25">
      <c r="A59" s="2"/>
      <c r="B59" s="272" t="s">
        <v>417</v>
      </c>
      <c r="C59" s="644"/>
      <c r="D59" s="644"/>
      <c r="E59" s="644" t="s">
        <v>526</v>
      </c>
      <c r="F59" s="644"/>
      <c r="G59" s="1" t="s">
        <v>42</v>
      </c>
      <c r="H59" s="303">
        <v>4</v>
      </c>
      <c r="I59" s="2"/>
      <c r="J59" s="302" t="s">
        <v>480</v>
      </c>
      <c r="K59" s="312">
        <v>5200</v>
      </c>
      <c r="L59" s="609"/>
      <c r="M59" s="609"/>
      <c r="N59" s="609"/>
      <c r="O59" s="609" t="s">
        <v>154</v>
      </c>
      <c r="P59" s="609" t="s">
        <v>528</v>
      </c>
    </row>
    <row r="60" spans="1:18" ht="27.75" customHeight="1" x14ac:dyDescent="0.25">
      <c r="A60" s="2"/>
      <c r="B60" s="652" t="s">
        <v>492</v>
      </c>
      <c r="C60" s="628"/>
      <c r="D60" s="628"/>
      <c r="E60" s="644" t="s">
        <v>527</v>
      </c>
      <c r="F60" s="644"/>
      <c r="G60" s="1" t="s">
        <v>42</v>
      </c>
      <c r="H60" s="303">
        <v>70</v>
      </c>
      <c r="I60" s="2"/>
      <c r="J60" s="302" t="s">
        <v>493</v>
      </c>
      <c r="K60" s="312">
        <v>52850</v>
      </c>
      <c r="L60" s="609"/>
      <c r="M60" s="609"/>
      <c r="N60" s="609"/>
      <c r="O60" s="609"/>
      <c r="P60" s="609"/>
    </row>
    <row r="61" spans="1:18" ht="51.75" customHeight="1" x14ac:dyDescent="0.25">
      <c r="A61" s="2"/>
      <c r="B61" s="652"/>
      <c r="C61" s="628"/>
      <c r="D61" s="628"/>
      <c r="E61" s="644" t="s">
        <v>479</v>
      </c>
      <c r="F61" s="644"/>
      <c r="G61" s="1" t="s">
        <v>42</v>
      </c>
      <c r="H61" s="303">
        <v>2300.9</v>
      </c>
      <c r="I61" s="2"/>
      <c r="J61" s="302" t="s">
        <v>494</v>
      </c>
      <c r="K61" s="312">
        <v>1748684</v>
      </c>
      <c r="L61" s="609"/>
      <c r="M61" s="609"/>
      <c r="N61" s="609"/>
      <c r="O61" s="609"/>
      <c r="P61" s="609"/>
    </row>
    <row r="62" spans="1:18" ht="39" customHeight="1" x14ac:dyDescent="0.25">
      <c r="A62" s="2"/>
      <c r="B62" s="272" t="s">
        <v>496</v>
      </c>
      <c r="C62" s="628"/>
      <c r="D62" s="628"/>
      <c r="E62" s="644" t="s">
        <v>57</v>
      </c>
      <c r="F62" s="644"/>
      <c r="G62" s="1" t="s">
        <v>63</v>
      </c>
      <c r="H62" s="303">
        <v>227</v>
      </c>
      <c r="I62" s="2"/>
      <c r="J62" s="302" t="s">
        <v>497</v>
      </c>
      <c r="K62" s="312">
        <v>249700</v>
      </c>
      <c r="L62" s="497"/>
      <c r="M62" s="497"/>
      <c r="N62" s="497"/>
      <c r="O62" s="497"/>
      <c r="P62" s="497"/>
    </row>
    <row r="63" spans="1:18" ht="16.5" customHeight="1" x14ac:dyDescent="0.25">
      <c r="A63" s="2"/>
      <c r="B63" s="272"/>
      <c r="C63" s="303"/>
      <c r="D63" s="303"/>
      <c r="E63" s="303"/>
      <c r="F63" s="313" t="s">
        <v>529</v>
      </c>
      <c r="G63" s="1"/>
      <c r="H63" s="303"/>
      <c r="I63" s="2"/>
      <c r="J63" s="302"/>
      <c r="K63" s="320">
        <f>SUM(K59:K62)</f>
        <v>2056434</v>
      </c>
      <c r="L63" s="305">
        <v>1032948.03</v>
      </c>
      <c r="M63" s="303"/>
      <c r="N63" s="303"/>
      <c r="O63" s="2"/>
      <c r="P63" s="2"/>
      <c r="Q63" t="s">
        <v>569</v>
      </c>
    </row>
    <row r="64" spans="1:18" ht="47.25" customHeight="1" x14ac:dyDescent="0.25">
      <c r="A64" s="2"/>
      <c r="B64" s="652" t="s">
        <v>104</v>
      </c>
      <c r="C64" s="644"/>
      <c r="D64" s="644"/>
      <c r="E64" s="644" t="s">
        <v>57</v>
      </c>
      <c r="F64" s="644"/>
      <c r="G64" s="1" t="s">
        <v>63</v>
      </c>
      <c r="H64" s="303">
        <v>52</v>
      </c>
      <c r="I64" s="2"/>
      <c r="J64" s="302" t="s">
        <v>481</v>
      </c>
      <c r="K64" s="307">
        <v>57200</v>
      </c>
      <c r="L64" s="609"/>
      <c r="M64" s="609"/>
      <c r="N64" s="609"/>
      <c r="O64" s="609" t="s">
        <v>154</v>
      </c>
      <c r="P64" s="609" t="s">
        <v>530</v>
      </c>
    </row>
    <row r="65" spans="1:17" ht="48" customHeight="1" x14ac:dyDescent="0.25">
      <c r="A65" s="2"/>
      <c r="B65" s="652"/>
      <c r="C65" s="644"/>
      <c r="D65" s="644"/>
      <c r="E65" s="644" t="s">
        <v>533</v>
      </c>
      <c r="F65" s="644"/>
      <c r="G65" s="1" t="s">
        <v>42</v>
      </c>
      <c r="H65" s="303">
        <v>20</v>
      </c>
      <c r="I65" s="2"/>
      <c r="J65" s="302" t="s">
        <v>482</v>
      </c>
      <c r="K65" s="307">
        <v>27000</v>
      </c>
      <c r="L65" s="609"/>
      <c r="M65" s="609"/>
      <c r="N65" s="609"/>
      <c r="O65" s="609"/>
      <c r="P65" s="609"/>
    </row>
    <row r="66" spans="1:17" ht="35.25" customHeight="1" x14ac:dyDescent="0.25">
      <c r="A66" s="2"/>
      <c r="B66" s="652"/>
      <c r="C66" s="644"/>
      <c r="D66" s="644"/>
      <c r="E66" s="644" t="s">
        <v>48</v>
      </c>
      <c r="F66" s="644"/>
      <c r="G66" s="1" t="s">
        <v>42</v>
      </c>
      <c r="H66" s="303">
        <v>70</v>
      </c>
      <c r="I66" s="2"/>
      <c r="J66" s="302" t="s">
        <v>483</v>
      </c>
      <c r="K66" s="307">
        <v>10500</v>
      </c>
      <c r="L66" s="609"/>
      <c r="M66" s="609"/>
      <c r="N66" s="609"/>
      <c r="O66" s="609"/>
      <c r="P66" s="609"/>
    </row>
    <row r="67" spans="1:17" ht="31.5" customHeight="1" x14ac:dyDescent="0.25">
      <c r="A67" s="2"/>
      <c r="B67" s="652"/>
      <c r="C67" s="644"/>
      <c r="D67" s="644"/>
      <c r="E67" s="644" t="s">
        <v>526</v>
      </c>
      <c r="F67" s="644"/>
      <c r="G67" s="1" t="s">
        <v>42</v>
      </c>
      <c r="H67" s="303">
        <v>62.09</v>
      </c>
      <c r="I67" s="2"/>
      <c r="J67" s="302" t="s">
        <v>484</v>
      </c>
      <c r="K67" s="307">
        <v>47188.4</v>
      </c>
      <c r="L67" s="497"/>
      <c r="M67" s="497"/>
      <c r="N67" s="497"/>
      <c r="O67" s="497"/>
      <c r="P67" s="497"/>
    </row>
    <row r="68" spans="1:17" ht="30" customHeight="1" x14ac:dyDescent="0.25">
      <c r="A68" s="2"/>
      <c r="B68" s="652"/>
      <c r="C68" s="644"/>
      <c r="D68" s="644"/>
      <c r="E68" s="644" t="s">
        <v>57</v>
      </c>
      <c r="F68" s="644"/>
      <c r="G68" s="1" t="s">
        <v>63</v>
      </c>
      <c r="H68" s="303">
        <v>36</v>
      </c>
      <c r="I68" s="2"/>
      <c r="J68" s="302" t="s">
        <v>485</v>
      </c>
      <c r="K68" s="307">
        <v>39600</v>
      </c>
      <c r="L68" s="497"/>
      <c r="M68" s="497"/>
      <c r="N68" s="497"/>
      <c r="O68" s="497"/>
      <c r="P68" s="497"/>
    </row>
    <row r="69" spans="1:17" ht="23.25" customHeight="1" x14ac:dyDescent="0.25">
      <c r="A69" s="2"/>
      <c r="B69" s="652"/>
      <c r="C69" s="644"/>
      <c r="D69" s="644"/>
      <c r="E69" s="644" t="s">
        <v>532</v>
      </c>
      <c r="F69" s="644"/>
      <c r="G69" s="1" t="s">
        <v>42</v>
      </c>
      <c r="H69" s="303">
        <v>20</v>
      </c>
      <c r="I69" s="2"/>
      <c r="J69" s="302" t="s">
        <v>486</v>
      </c>
      <c r="K69" s="311">
        <v>916</v>
      </c>
      <c r="L69" s="497"/>
      <c r="M69" s="497"/>
      <c r="N69" s="497"/>
      <c r="O69" s="497"/>
      <c r="P69" s="497"/>
    </row>
    <row r="70" spans="1:17" ht="26.25" customHeight="1" x14ac:dyDescent="0.25">
      <c r="A70" s="2"/>
      <c r="B70" s="652"/>
      <c r="C70" s="644"/>
      <c r="D70" s="644"/>
      <c r="E70" s="644" t="s">
        <v>55</v>
      </c>
      <c r="F70" s="644"/>
      <c r="G70" s="1" t="s">
        <v>42</v>
      </c>
      <c r="H70" s="303">
        <v>23</v>
      </c>
      <c r="I70" s="2"/>
      <c r="J70" s="302" t="s">
        <v>487</v>
      </c>
      <c r="K70" s="307">
        <v>29900</v>
      </c>
      <c r="L70" s="497"/>
      <c r="M70" s="497"/>
      <c r="N70" s="497"/>
      <c r="O70" s="497"/>
      <c r="P70" s="497"/>
    </row>
    <row r="71" spans="1:17" ht="26.25" customHeight="1" x14ac:dyDescent="0.25">
      <c r="A71" s="2"/>
      <c r="B71" s="652"/>
      <c r="C71" s="644"/>
      <c r="D71" s="644"/>
      <c r="E71" s="644" t="s">
        <v>57</v>
      </c>
      <c r="F71" s="644"/>
      <c r="G71" s="1" t="s">
        <v>63</v>
      </c>
      <c r="H71" s="303">
        <v>23</v>
      </c>
      <c r="I71" s="2"/>
      <c r="J71" s="302" t="s">
        <v>488</v>
      </c>
      <c r="K71" s="307">
        <v>25300</v>
      </c>
      <c r="L71" s="497"/>
      <c r="M71" s="497"/>
      <c r="N71" s="497"/>
      <c r="O71" s="497"/>
      <c r="P71" s="497"/>
    </row>
    <row r="72" spans="1:17" ht="23.25" customHeight="1" x14ac:dyDescent="0.25">
      <c r="A72" s="2"/>
      <c r="B72" s="652"/>
      <c r="C72" s="644"/>
      <c r="D72" s="644"/>
      <c r="E72" s="644" t="s">
        <v>526</v>
      </c>
      <c r="F72" s="644"/>
      <c r="G72" s="1" t="s">
        <v>42</v>
      </c>
      <c r="H72" s="303">
        <v>4</v>
      </c>
      <c r="I72" s="2"/>
      <c r="J72" s="302" t="s">
        <v>489</v>
      </c>
      <c r="K72" s="307">
        <v>9568</v>
      </c>
      <c r="L72" s="497"/>
      <c r="M72" s="497"/>
      <c r="N72" s="497"/>
      <c r="O72" s="497"/>
      <c r="P72" s="497"/>
    </row>
    <row r="73" spans="1:17" ht="24" customHeight="1" x14ac:dyDescent="0.25">
      <c r="A73" s="2"/>
      <c r="B73" s="652"/>
      <c r="C73" s="644"/>
      <c r="D73" s="644"/>
      <c r="E73" s="644" t="s">
        <v>527</v>
      </c>
      <c r="F73" s="644"/>
      <c r="G73" s="1" t="s">
        <v>42</v>
      </c>
      <c r="H73" s="303">
        <v>490</v>
      </c>
      <c r="I73" s="2"/>
      <c r="J73" s="302" t="s">
        <v>490</v>
      </c>
      <c r="K73" s="307">
        <v>369950</v>
      </c>
      <c r="L73" s="497"/>
      <c r="M73" s="497"/>
      <c r="N73" s="497"/>
      <c r="O73" s="497"/>
      <c r="P73" s="497"/>
    </row>
    <row r="74" spans="1:17" ht="44.25" customHeight="1" x14ac:dyDescent="0.25">
      <c r="A74" s="2"/>
      <c r="B74" s="652"/>
      <c r="C74" s="644"/>
      <c r="D74" s="644"/>
      <c r="E74" s="644" t="s">
        <v>479</v>
      </c>
      <c r="F74" s="644"/>
      <c r="G74" s="1" t="s">
        <v>42</v>
      </c>
      <c r="H74" s="303">
        <v>760.7</v>
      </c>
      <c r="I74" s="2"/>
      <c r="J74" s="302" t="s">
        <v>491</v>
      </c>
      <c r="K74" s="307">
        <v>578132</v>
      </c>
      <c r="L74" s="497"/>
      <c r="M74" s="497"/>
      <c r="N74" s="497"/>
      <c r="O74" s="497"/>
      <c r="P74" s="497"/>
    </row>
    <row r="75" spans="1:17" ht="46.5" customHeight="1" x14ac:dyDescent="0.25">
      <c r="A75" s="2"/>
      <c r="B75" s="272" t="s">
        <v>40</v>
      </c>
      <c r="C75" s="628"/>
      <c r="D75" s="628"/>
      <c r="E75" s="644" t="s">
        <v>526</v>
      </c>
      <c r="F75" s="644"/>
      <c r="G75" s="1" t="s">
        <v>63</v>
      </c>
      <c r="H75" s="303">
        <v>20</v>
      </c>
      <c r="I75" s="2"/>
      <c r="J75" s="302" t="s">
        <v>495</v>
      </c>
      <c r="K75" s="307">
        <v>26000</v>
      </c>
      <c r="L75" s="497"/>
      <c r="M75" s="497"/>
      <c r="N75" s="497"/>
      <c r="O75" s="497"/>
      <c r="P75" s="497"/>
    </row>
    <row r="76" spans="1:17" ht="18" customHeight="1" x14ac:dyDescent="0.25">
      <c r="A76" s="2"/>
      <c r="B76" s="272"/>
      <c r="C76" s="271"/>
      <c r="D76" s="271"/>
      <c r="E76" s="303"/>
      <c r="F76" s="313" t="s">
        <v>531</v>
      </c>
      <c r="G76" s="1"/>
      <c r="H76" s="303"/>
      <c r="I76" s="2"/>
      <c r="J76" s="302"/>
      <c r="K76" s="320">
        <f>SUM(K64:K75)</f>
        <v>1221254.3999999999</v>
      </c>
      <c r="L76" s="305">
        <v>1024414.28</v>
      </c>
      <c r="M76" s="303"/>
      <c r="N76" s="303"/>
      <c r="O76" s="2"/>
      <c r="P76" s="2"/>
      <c r="Q76" t="s">
        <v>569</v>
      </c>
    </row>
    <row r="77" spans="1:17" ht="43.5" customHeight="1" x14ac:dyDescent="0.25">
      <c r="A77" s="2"/>
      <c r="B77" s="652" t="s">
        <v>161</v>
      </c>
      <c r="C77" s="628"/>
      <c r="D77" s="628"/>
      <c r="E77" s="644" t="s">
        <v>549</v>
      </c>
      <c r="F77" s="644"/>
      <c r="G77" s="1" t="s">
        <v>42</v>
      </c>
      <c r="H77" s="303">
        <v>534.5</v>
      </c>
      <c r="I77" s="2"/>
      <c r="J77" s="302" t="s">
        <v>498</v>
      </c>
      <c r="K77" s="307">
        <v>905317.49</v>
      </c>
      <c r="L77" s="650"/>
      <c r="M77" s="650"/>
      <c r="N77" s="650"/>
      <c r="O77" s="650" t="s">
        <v>44</v>
      </c>
      <c r="P77" s="650" t="s">
        <v>550</v>
      </c>
    </row>
    <row r="78" spans="1:17" ht="47.25" customHeight="1" x14ac:dyDescent="0.25">
      <c r="A78" s="2"/>
      <c r="B78" s="652"/>
      <c r="C78" s="628"/>
      <c r="D78" s="628"/>
      <c r="E78" s="644" t="s">
        <v>55</v>
      </c>
      <c r="F78" s="644"/>
      <c r="G78" s="1" t="s">
        <v>42</v>
      </c>
      <c r="H78" s="303">
        <v>673.5</v>
      </c>
      <c r="I78" s="2"/>
      <c r="J78" s="302" t="s">
        <v>499</v>
      </c>
      <c r="K78" s="307">
        <v>751434.5</v>
      </c>
      <c r="L78" s="651"/>
      <c r="M78" s="651"/>
      <c r="N78" s="651"/>
      <c r="O78" s="651"/>
      <c r="P78" s="651"/>
    </row>
    <row r="79" spans="1:17" ht="46.5" customHeight="1" x14ac:dyDescent="0.25">
      <c r="A79" s="2"/>
      <c r="B79" s="652"/>
      <c r="C79" s="628"/>
      <c r="D79" s="628"/>
      <c r="E79" s="644" t="s">
        <v>57</v>
      </c>
      <c r="F79" s="644"/>
      <c r="G79" s="1" t="s">
        <v>63</v>
      </c>
      <c r="H79" s="303">
        <v>1177</v>
      </c>
      <c r="I79" s="2"/>
      <c r="J79" s="302" t="s">
        <v>497</v>
      </c>
      <c r="K79" s="307">
        <v>1271260.9099999999</v>
      </c>
      <c r="L79" s="651"/>
      <c r="M79" s="651"/>
      <c r="N79" s="651"/>
      <c r="O79" s="651"/>
      <c r="P79" s="651"/>
    </row>
    <row r="80" spans="1:17" ht="17.25" customHeight="1" x14ac:dyDescent="0.25">
      <c r="A80" s="2"/>
      <c r="B80" s="272"/>
      <c r="C80" s="271"/>
      <c r="D80" s="271"/>
      <c r="E80" s="303"/>
      <c r="F80" s="313" t="s">
        <v>551</v>
      </c>
      <c r="G80" s="1"/>
      <c r="H80" s="303"/>
      <c r="I80" s="2"/>
      <c r="J80" s="302"/>
      <c r="K80" s="320">
        <f>SUM(K77:K79)</f>
        <v>2928012.9</v>
      </c>
      <c r="L80" s="305">
        <v>2737691.71</v>
      </c>
      <c r="M80" s="303"/>
      <c r="N80" s="303"/>
      <c r="O80" s="2"/>
      <c r="P80" s="2"/>
      <c r="Q80" t="s">
        <v>569</v>
      </c>
    </row>
    <row r="81" spans="1:17" ht="44.25" customHeight="1" x14ac:dyDescent="0.25">
      <c r="A81" s="2"/>
      <c r="B81" s="648" t="s">
        <v>161</v>
      </c>
      <c r="C81" s="644"/>
      <c r="D81" s="644"/>
      <c r="E81" s="644" t="s">
        <v>548</v>
      </c>
      <c r="F81" s="644"/>
      <c r="G81" s="1" t="s">
        <v>42</v>
      </c>
      <c r="H81" s="303">
        <v>917.7</v>
      </c>
      <c r="I81" s="2"/>
      <c r="J81" s="296" t="s">
        <v>501</v>
      </c>
      <c r="K81" s="307">
        <v>2333882.14</v>
      </c>
      <c r="L81" s="648"/>
      <c r="M81" s="648"/>
      <c r="N81" s="648"/>
      <c r="O81" s="648" t="s">
        <v>44</v>
      </c>
      <c r="P81" s="648" t="s">
        <v>400</v>
      </c>
    </row>
    <row r="82" spans="1:17" ht="63" customHeight="1" x14ac:dyDescent="0.25">
      <c r="A82" s="2"/>
      <c r="B82" s="648"/>
      <c r="C82" s="644"/>
      <c r="D82" s="644"/>
      <c r="E82" s="644" t="s">
        <v>552</v>
      </c>
      <c r="F82" s="644"/>
      <c r="G82" s="1" t="s">
        <v>502</v>
      </c>
      <c r="H82" s="303">
        <v>111.76</v>
      </c>
      <c r="I82" s="2"/>
      <c r="J82" s="296" t="s">
        <v>503</v>
      </c>
      <c r="K82" s="307">
        <v>664099.86</v>
      </c>
      <c r="L82" s="566"/>
      <c r="M82" s="566"/>
      <c r="N82" s="566"/>
      <c r="O82" s="566"/>
      <c r="P82" s="566"/>
    </row>
    <row r="83" spans="1:17" ht="16.5" customHeight="1" x14ac:dyDescent="0.25">
      <c r="A83" s="2"/>
      <c r="B83" s="648"/>
      <c r="C83" s="303"/>
      <c r="D83" s="303"/>
      <c r="E83" s="303"/>
      <c r="F83" s="313" t="s">
        <v>553</v>
      </c>
      <c r="G83" s="1"/>
      <c r="H83" s="303"/>
      <c r="I83" s="2"/>
      <c r="J83" s="296"/>
      <c r="K83" s="320">
        <f>SUM(K81:K82)</f>
        <v>2997982</v>
      </c>
      <c r="L83" s="305">
        <v>2790000</v>
      </c>
      <c r="M83" s="303"/>
      <c r="N83" s="303"/>
      <c r="O83" s="2"/>
      <c r="P83" s="2"/>
      <c r="Q83" t="s">
        <v>569</v>
      </c>
    </row>
    <row r="84" spans="1:17" ht="33.75" customHeight="1" x14ac:dyDescent="0.25">
      <c r="A84" s="2"/>
      <c r="B84" s="648"/>
      <c r="C84" s="644"/>
      <c r="D84" s="644"/>
      <c r="E84" s="644" t="s">
        <v>55</v>
      </c>
      <c r="F84" s="644"/>
      <c r="G84" s="1" t="s">
        <v>42</v>
      </c>
      <c r="H84" s="303">
        <v>723.5</v>
      </c>
      <c r="I84" s="2"/>
      <c r="J84" s="296" t="s">
        <v>504</v>
      </c>
      <c r="K84" s="307">
        <v>1392771.85</v>
      </c>
      <c r="L84" s="648"/>
      <c r="M84" s="648"/>
      <c r="N84" s="648"/>
      <c r="O84" s="648" t="s">
        <v>44</v>
      </c>
      <c r="P84" s="648" t="s">
        <v>110</v>
      </c>
    </row>
    <row r="85" spans="1:17" ht="34.5" customHeight="1" x14ac:dyDescent="0.25">
      <c r="A85" s="2"/>
      <c r="B85" s="648"/>
      <c r="C85" s="644"/>
      <c r="D85" s="644"/>
      <c r="E85" s="649" t="s">
        <v>48</v>
      </c>
      <c r="F85" s="649"/>
      <c r="G85" s="1" t="s">
        <v>42</v>
      </c>
      <c r="H85" s="314">
        <v>2116</v>
      </c>
      <c r="I85" s="2"/>
      <c r="J85" s="296" t="s">
        <v>505</v>
      </c>
      <c r="K85" s="307">
        <v>621083.44999999995</v>
      </c>
      <c r="L85" s="566"/>
      <c r="M85" s="566"/>
      <c r="N85" s="566"/>
      <c r="O85" s="566"/>
      <c r="P85" s="566"/>
    </row>
    <row r="86" spans="1:17" ht="18" customHeight="1" x14ac:dyDescent="0.25">
      <c r="A86" s="2"/>
      <c r="B86" s="293"/>
      <c r="C86" s="303"/>
      <c r="D86" s="303"/>
      <c r="E86" s="314"/>
      <c r="F86" s="313" t="s">
        <v>554</v>
      </c>
      <c r="G86" s="1"/>
      <c r="H86" s="314"/>
      <c r="I86" s="2"/>
      <c r="J86" s="296"/>
      <c r="K86" s="298">
        <f>SUM(K84:K85)</f>
        <v>2013855.3</v>
      </c>
      <c r="L86" s="305">
        <v>1695175.24</v>
      </c>
      <c r="M86" s="314"/>
      <c r="N86" s="314"/>
      <c r="O86" s="2"/>
      <c r="P86" s="2"/>
    </row>
    <row r="87" spans="1:17" ht="48" customHeight="1" x14ac:dyDescent="0.25">
      <c r="A87" s="2"/>
      <c r="B87" s="293" t="s">
        <v>506</v>
      </c>
      <c r="C87" s="644"/>
      <c r="D87" s="644"/>
      <c r="E87" s="649" t="s">
        <v>515</v>
      </c>
      <c r="F87" s="649"/>
      <c r="G87" s="1" t="s">
        <v>42</v>
      </c>
      <c r="H87" s="314">
        <v>2141.3000000000002</v>
      </c>
      <c r="I87" s="2"/>
      <c r="J87" s="296" t="s">
        <v>479</v>
      </c>
      <c r="K87" s="321">
        <v>2167520</v>
      </c>
      <c r="L87" s="305">
        <v>2102494.4</v>
      </c>
      <c r="M87" s="314"/>
      <c r="N87" s="314"/>
      <c r="O87" s="113" t="s">
        <v>44</v>
      </c>
      <c r="P87" s="2" t="s">
        <v>97</v>
      </c>
      <c r="Q87" t="s">
        <v>569</v>
      </c>
    </row>
    <row r="88" spans="1:17" ht="32.25" customHeight="1" x14ac:dyDescent="0.25">
      <c r="A88" s="2"/>
      <c r="B88" s="648" t="s">
        <v>104</v>
      </c>
      <c r="C88" s="644"/>
      <c r="D88" s="644"/>
      <c r="E88" s="644" t="s">
        <v>55</v>
      </c>
      <c r="F88" s="644"/>
      <c r="G88" s="1" t="s">
        <v>42</v>
      </c>
      <c r="H88" s="303">
        <v>83.8</v>
      </c>
      <c r="I88" s="2"/>
      <c r="J88" s="296" t="s">
        <v>504</v>
      </c>
      <c r="K88" s="307">
        <v>457856.63</v>
      </c>
      <c r="L88" s="648"/>
      <c r="M88" s="648"/>
      <c r="N88" s="648"/>
      <c r="O88" s="648" t="s">
        <v>44</v>
      </c>
      <c r="P88" s="648" t="s">
        <v>546</v>
      </c>
    </row>
    <row r="89" spans="1:17" ht="31.5" customHeight="1" x14ac:dyDescent="0.25">
      <c r="A89" s="2"/>
      <c r="B89" s="648"/>
      <c r="C89" s="644"/>
      <c r="D89" s="644"/>
      <c r="E89" s="644" t="s">
        <v>48</v>
      </c>
      <c r="F89" s="644"/>
      <c r="G89" s="1" t="s">
        <v>42</v>
      </c>
      <c r="H89" s="303">
        <v>189</v>
      </c>
      <c r="I89" s="2"/>
      <c r="J89" s="296" t="s">
        <v>505</v>
      </c>
      <c r="K89" s="307">
        <v>49740.06</v>
      </c>
      <c r="L89" s="566"/>
      <c r="M89" s="566"/>
      <c r="N89" s="566"/>
      <c r="O89" s="648"/>
      <c r="P89" s="648"/>
    </row>
    <row r="90" spans="1:17" ht="47.25" customHeight="1" x14ac:dyDescent="0.25">
      <c r="A90" s="2"/>
      <c r="B90" s="293" t="s">
        <v>507</v>
      </c>
      <c r="C90" s="644"/>
      <c r="D90" s="644"/>
      <c r="E90" s="644" t="s">
        <v>479</v>
      </c>
      <c r="F90" s="644"/>
      <c r="G90" s="1" t="s">
        <v>42</v>
      </c>
      <c r="H90" s="303">
        <v>411</v>
      </c>
      <c r="I90" s="2"/>
      <c r="J90" s="296" t="s">
        <v>508</v>
      </c>
      <c r="K90" s="307">
        <v>343589.18</v>
      </c>
      <c r="L90" s="566"/>
      <c r="M90" s="566"/>
      <c r="N90" s="566"/>
      <c r="O90" s="648"/>
      <c r="P90" s="648"/>
    </row>
    <row r="91" spans="1:17" ht="35.25" customHeight="1" x14ac:dyDescent="0.25">
      <c r="A91" s="2"/>
      <c r="B91" s="293" t="s">
        <v>509</v>
      </c>
      <c r="C91" s="644"/>
      <c r="D91" s="644"/>
      <c r="E91" s="644" t="s">
        <v>547</v>
      </c>
      <c r="F91" s="644"/>
      <c r="G91" s="1" t="s">
        <v>42</v>
      </c>
      <c r="H91" s="303">
        <v>97.5</v>
      </c>
      <c r="I91" s="2"/>
      <c r="J91" s="296" t="s">
        <v>510</v>
      </c>
      <c r="K91" s="307">
        <v>74071.179999999993</v>
      </c>
      <c r="L91" s="566"/>
      <c r="M91" s="566"/>
      <c r="N91" s="566"/>
      <c r="O91" s="648"/>
      <c r="P91" s="648"/>
    </row>
    <row r="92" spans="1:17" ht="31.5" customHeight="1" x14ac:dyDescent="0.25">
      <c r="A92" s="2"/>
      <c r="B92" s="293" t="s">
        <v>133</v>
      </c>
      <c r="C92" s="644"/>
      <c r="D92" s="644"/>
      <c r="E92" s="644" t="s">
        <v>547</v>
      </c>
      <c r="F92" s="644"/>
      <c r="G92" s="1" t="s">
        <v>42</v>
      </c>
      <c r="H92" s="303">
        <v>132</v>
      </c>
      <c r="I92" s="2"/>
      <c r="J92" s="296" t="s">
        <v>510</v>
      </c>
      <c r="K92" s="307">
        <v>203342.95</v>
      </c>
      <c r="L92" s="566"/>
      <c r="M92" s="566"/>
      <c r="N92" s="566"/>
      <c r="O92" s="648"/>
      <c r="P92" s="648"/>
    </row>
    <row r="93" spans="1:17" ht="18.75" customHeight="1" x14ac:dyDescent="0.25">
      <c r="A93" s="2"/>
      <c r="B93" s="293"/>
      <c r="C93" s="303"/>
      <c r="D93" s="303"/>
      <c r="E93" s="303"/>
      <c r="F93" s="313" t="s">
        <v>545</v>
      </c>
      <c r="G93" s="1"/>
      <c r="H93" s="303"/>
      <c r="I93" s="2"/>
      <c r="J93" s="296"/>
      <c r="K93" s="298">
        <f>SUM(K88:K92)</f>
        <v>1128600</v>
      </c>
      <c r="L93" s="305">
        <v>1089099</v>
      </c>
      <c r="M93" s="303"/>
      <c r="N93" s="303"/>
      <c r="O93" s="2"/>
      <c r="P93" s="2"/>
    </row>
    <row r="94" spans="1:17" ht="34.5" customHeight="1" x14ac:dyDescent="0.25">
      <c r="A94" s="2"/>
      <c r="B94" s="293" t="s">
        <v>511</v>
      </c>
      <c r="C94" s="644"/>
      <c r="D94" s="644"/>
      <c r="E94" s="644" t="s">
        <v>55</v>
      </c>
      <c r="F94" s="644"/>
      <c r="G94" s="1" t="s">
        <v>42</v>
      </c>
      <c r="H94" s="303">
        <v>28.6</v>
      </c>
      <c r="I94" s="2"/>
      <c r="J94" s="296" t="s">
        <v>504</v>
      </c>
      <c r="K94" s="321">
        <v>29250</v>
      </c>
      <c r="L94" s="305">
        <v>29250</v>
      </c>
      <c r="M94" s="303"/>
      <c r="N94" s="303"/>
      <c r="O94" s="113" t="s">
        <v>44</v>
      </c>
      <c r="P94" s="2" t="s">
        <v>562</v>
      </c>
      <c r="Q94" t="s">
        <v>569</v>
      </c>
    </row>
    <row r="95" spans="1:17" ht="31.5" customHeight="1" x14ac:dyDescent="0.25">
      <c r="A95" s="2"/>
      <c r="B95" s="293" t="s">
        <v>76</v>
      </c>
      <c r="C95" s="644"/>
      <c r="D95" s="644"/>
      <c r="E95" s="644" t="s">
        <v>542</v>
      </c>
      <c r="F95" s="644"/>
      <c r="G95" s="1" t="s">
        <v>42</v>
      </c>
      <c r="H95" s="303">
        <v>9</v>
      </c>
      <c r="I95" s="2"/>
      <c r="J95" s="296" t="s">
        <v>501</v>
      </c>
      <c r="K95" s="321">
        <v>13650</v>
      </c>
      <c r="L95" s="305">
        <v>13650</v>
      </c>
      <c r="M95" s="303"/>
      <c r="N95" s="303"/>
      <c r="O95" s="113" t="s">
        <v>44</v>
      </c>
      <c r="P95" s="2" t="s">
        <v>541</v>
      </c>
      <c r="Q95" t="s">
        <v>569</v>
      </c>
    </row>
    <row r="96" spans="1:17" ht="15.75" x14ac:dyDescent="0.25">
      <c r="A96" s="2"/>
      <c r="B96" s="645" t="s">
        <v>512</v>
      </c>
      <c r="C96" s="645"/>
      <c r="D96" s="646"/>
      <c r="E96" s="646"/>
      <c r="F96" s="647"/>
      <c r="G96" s="647"/>
      <c r="H96" s="641">
        <v>23574740.07</v>
      </c>
      <c r="I96" s="641"/>
      <c r="J96" s="296"/>
      <c r="K96" s="406">
        <f>K3+K10+K11+K14+K17+K18+K19+K20+K25+K26+K53+K58+K63+K76+K80+K83+K86+K87+K93+K94+K95</f>
        <v>31925597.370000001</v>
      </c>
      <c r="L96" s="298">
        <f>SUM(L3:L95)</f>
        <v>27218962.559999995</v>
      </c>
      <c r="M96" s="2"/>
      <c r="N96" s="2"/>
      <c r="O96" s="2"/>
      <c r="P96" s="2"/>
    </row>
    <row r="97" spans="9:12" ht="14.45" x14ac:dyDescent="0.3">
      <c r="I97" s="8">
        <f>J96-H96</f>
        <v>-23574740.07</v>
      </c>
      <c r="K97" s="8"/>
      <c r="L97" s="8">
        <f>H96-L96</f>
        <v>-3644222.4899999946</v>
      </c>
    </row>
  </sheetData>
  <mergeCells count="216">
    <mergeCell ref="B7:B8"/>
    <mergeCell ref="C7:D7"/>
    <mergeCell ref="K7:K8"/>
    <mergeCell ref="C8:D8"/>
    <mergeCell ref="C3:D3"/>
    <mergeCell ref="C4:D4"/>
    <mergeCell ref="L4:L8"/>
    <mergeCell ref="M4:M8"/>
    <mergeCell ref="N4:N8"/>
    <mergeCell ref="C11:D11"/>
    <mergeCell ref="C12:D12"/>
    <mergeCell ref="L12:L13"/>
    <mergeCell ref="M12:M13"/>
    <mergeCell ref="N12:N13"/>
    <mergeCell ref="O12:O13"/>
    <mergeCell ref="O4:O8"/>
    <mergeCell ref="P4:P8"/>
    <mergeCell ref="C5:D5"/>
    <mergeCell ref="C6:D6"/>
    <mergeCell ref="P12:P13"/>
    <mergeCell ref="C13:D13"/>
    <mergeCell ref="E13:F13"/>
    <mergeCell ref="C9:D9"/>
    <mergeCell ref="C15:D15"/>
    <mergeCell ref="L15:L16"/>
    <mergeCell ref="M15:M16"/>
    <mergeCell ref="N15:N16"/>
    <mergeCell ref="O15:O16"/>
    <mergeCell ref="P15:P16"/>
    <mergeCell ref="C16:D16"/>
    <mergeCell ref="B20:B24"/>
    <mergeCell ref="C20:D24"/>
    <mergeCell ref="E20:F24"/>
    <mergeCell ref="K20:K24"/>
    <mergeCell ref="P20:P24"/>
    <mergeCell ref="C25:D25"/>
    <mergeCell ref="E25:F25"/>
    <mergeCell ref="C18:D18"/>
    <mergeCell ref="E18:F18"/>
    <mergeCell ref="C19:D19"/>
    <mergeCell ref="E19:F19"/>
    <mergeCell ref="P27:P51"/>
    <mergeCell ref="C28:D28"/>
    <mergeCell ref="E28:F28"/>
    <mergeCell ref="C29:D29"/>
    <mergeCell ref="E29:F29"/>
    <mergeCell ref="C30:D30"/>
    <mergeCell ref="E30:F30"/>
    <mergeCell ref="C31:D31"/>
    <mergeCell ref="C26:D26"/>
    <mergeCell ref="E26:F26"/>
    <mergeCell ref="C27:D27"/>
    <mergeCell ref="E27:F27"/>
    <mergeCell ref="M27:M51"/>
    <mergeCell ref="E31:F31"/>
    <mergeCell ref="C32:D32"/>
    <mergeCell ref="E32:F32"/>
    <mergeCell ref="C33:D33"/>
    <mergeCell ref="E33:F33"/>
    <mergeCell ref="N27:N51"/>
    <mergeCell ref="O27:O51"/>
    <mergeCell ref="C40:D40"/>
    <mergeCell ref="E40:F40"/>
    <mergeCell ref="C41:D41"/>
    <mergeCell ref="E41:F41"/>
    <mergeCell ref="C42:D42"/>
    <mergeCell ref="E42:F42"/>
    <mergeCell ref="C37:D37"/>
    <mergeCell ref="E37:F37"/>
    <mergeCell ref="C38:D38"/>
    <mergeCell ref="E38:F38"/>
    <mergeCell ref="C39:D39"/>
    <mergeCell ref="E39:F39"/>
    <mergeCell ref="C46:D46"/>
    <mergeCell ref="E46:F46"/>
    <mergeCell ref="C47:D47"/>
    <mergeCell ref="E47:F47"/>
    <mergeCell ref="E45:F45"/>
    <mergeCell ref="B54:B57"/>
    <mergeCell ref="C54:D54"/>
    <mergeCell ref="E54:F54"/>
    <mergeCell ref="C34:D34"/>
    <mergeCell ref="E34:F34"/>
    <mergeCell ref="C35:D35"/>
    <mergeCell ref="E35:F35"/>
    <mergeCell ref="C36:D36"/>
    <mergeCell ref="E36:F36"/>
    <mergeCell ref="O54:O57"/>
    <mergeCell ref="C49:D49"/>
    <mergeCell ref="E49:F49"/>
    <mergeCell ref="C50:D50"/>
    <mergeCell ref="E50:F50"/>
    <mergeCell ref="C51:D51"/>
    <mergeCell ref="E51:F51"/>
    <mergeCell ref="P54:P57"/>
    <mergeCell ref="C55:D55"/>
    <mergeCell ref="E55:F55"/>
    <mergeCell ref="C56:D56"/>
    <mergeCell ref="E56:F56"/>
    <mergeCell ref="C57:D57"/>
    <mergeCell ref="E57:F57"/>
    <mergeCell ref="C52:D52"/>
    <mergeCell ref="E52:F52"/>
    <mergeCell ref="L27:L52"/>
    <mergeCell ref="C48:D48"/>
    <mergeCell ref="E48:F48"/>
    <mergeCell ref="C43:D43"/>
    <mergeCell ref="E43:F43"/>
    <mergeCell ref="C44:D44"/>
    <mergeCell ref="E44:F44"/>
    <mergeCell ref="C45:D45"/>
    <mergeCell ref="P59:P62"/>
    <mergeCell ref="B60:B61"/>
    <mergeCell ref="C60:D60"/>
    <mergeCell ref="E60:F60"/>
    <mergeCell ref="C61:D61"/>
    <mergeCell ref="E61:F61"/>
    <mergeCell ref="C62:D62"/>
    <mergeCell ref="E62:F62"/>
    <mergeCell ref="C59:D59"/>
    <mergeCell ref="E59:F59"/>
    <mergeCell ref="L59:L62"/>
    <mergeCell ref="M59:M62"/>
    <mergeCell ref="N59:N62"/>
    <mergeCell ref="O59:O62"/>
    <mergeCell ref="O64:O75"/>
    <mergeCell ref="P64:P75"/>
    <mergeCell ref="C65:D65"/>
    <mergeCell ref="E65:F65"/>
    <mergeCell ref="C66:D66"/>
    <mergeCell ref="E66:F66"/>
    <mergeCell ref="C67:D67"/>
    <mergeCell ref="E67:F67"/>
    <mergeCell ref="C68:D68"/>
    <mergeCell ref="E68:F68"/>
    <mergeCell ref="C64:D64"/>
    <mergeCell ref="E64:F64"/>
    <mergeCell ref="L64:L75"/>
    <mergeCell ref="M64:M75"/>
    <mergeCell ref="N64:N75"/>
    <mergeCell ref="C69:D69"/>
    <mergeCell ref="E69:F69"/>
    <mergeCell ref="C70:D70"/>
    <mergeCell ref="E70:F70"/>
    <mergeCell ref="C74:D74"/>
    <mergeCell ref="E74:F74"/>
    <mergeCell ref="C75:D75"/>
    <mergeCell ref="E75:F75"/>
    <mergeCell ref="B77:B79"/>
    <mergeCell ref="C77:D77"/>
    <mergeCell ref="E77:F77"/>
    <mergeCell ref="C71:D71"/>
    <mergeCell ref="E71:F71"/>
    <mergeCell ref="C72:D72"/>
    <mergeCell ref="E72:F72"/>
    <mergeCell ref="C73:D73"/>
    <mergeCell ref="E73:F73"/>
    <mergeCell ref="B64:B74"/>
    <mergeCell ref="N81:N82"/>
    <mergeCell ref="L77:L79"/>
    <mergeCell ref="M77:M79"/>
    <mergeCell ref="N77:N79"/>
    <mergeCell ref="O77:O79"/>
    <mergeCell ref="P77:P79"/>
    <mergeCell ref="C78:D78"/>
    <mergeCell ref="E78:F78"/>
    <mergeCell ref="C79:D79"/>
    <mergeCell ref="E79:F79"/>
    <mergeCell ref="P84:P85"/>
    <mergeCell ref="C85:D85"/>
    <mergeCell ref="E85:F85"/>
    <mergeCell ref="C87:D87"/>
    <mergeCell ref="E87:F87"/>
    <mergeCell ref="B88:B89"/>
    <mergeCell ref="C88:D88"/>
    <mergeCell ref="E88:F88"/>
    <mergeCell ref="L88:L92"/>
    <mergeCell ref="M88:M92"/>
    <mergeCell ref="B81:B85"/>
    <mergeCell ref="P88:P92"/>
    <mergeCell ref="O81:O82"/>
    <mergeCell ref="P81:P82"/>
    <mergeCell ref="C82:D82"/>
    <mergeCell ref="E82:F82"/>
    <mergeCell ref="C84:D84"/>
    <mergeCell ref="E84:F84"/>
    <mergeCell ref="L84:L85"/>
    <mergeCell ref="M84:M85"/>
    <mergeCell ref="N84:N85"/>
    <mergeCell ref="O84:O85"/>
    <mergeCell ref="C81:D81"/>
    <mergeCell ref="E81:F81"/>
    <mergeCell ref="H96:I96"/>
    <mergeCell ref="L20:L24"/>
    <mergeCell ref="M20:M24"/>
    <mergeCell ref="N20:N24"/>
    <mergeCell ref="O20:O24"/>
    <mergeCell ref="E92:F92"/>
    <mergeCell ref="C94:D94"/>
    <mergeCell ref="E94:F94"/>
    <mergeCell ref="C95:D95"/>
    <mergeCell ref="E95:F95"/>
    <mergeCell ref="B96:C96"/>
    <mergeCell ref="D96:E96"/>
    <mergeCell ref="F96:G96"/>
    <mergeCell ref="N88:N92"/>
    <mergeCell ref="O88:O92"/>
    <mergeCell ref="C89:D89"/>
    <mergeCell ref="E89:F89"/>
    <mergeCell ref="C90:D90"/>
    <mergeCell ref="E90:F90"/>
    <mergeCell ref="C91:D91"/>
    <mergeCell ref="E91:F91"/>
    <mergeCell ref="C92:D92"/>
    <mergeCell ref="L81:L82"/>
    <mergeCell ref="M81:M82"/>
  </mergeCells>
  <pageMargins left="0.70866141732283472" right="0.70866141732283472" top="0.74803149606299213" bottom="0.74803149606299213"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zoomScale="90" zoomScaleNormal="90" workbookViewId="0">
      <selection activeCell="L54" sqref="L54"/>
    </sheetView>
  </sheetViews>
  <sheetFormatPr defaultRowHeight="15" x14ac:dyDescent="0.25"/>
  <cols>
    <col min="1" max="1" width="35.7109375" customWidth="1"/>
    <col min="2" max="2" width="26.5703125" customWidth="1"/>
    <col min="3" max="3" width="18.5703125" style="8" customWidth="1"/>
    <col min="4" max="4" width="19.85546875" style="8" customWidth="1"/>
    <col min="5" max="5" width="20" style="8" customWidth="1"/>
    <col min="6" max="6" width="16.42578125" style="8" customWidth="1"/>
    <col min="7" max="7" width="15.42578125" style="8" customWidth="1"/>
    <col min="8" max="8" width="13.5703125" style="8" customWidth="1"/>
    <col min="10" max="10" width="24" style="8" customWidth="1"/>
  </cols>
  <sheetData>
    <row r="1" spans="1:10" x14ac:dyDescent="0.25">
      <c r="A1" s="408"/>
      <c r="B1" s="408"/>
      <c r="C1" s="454"/>
      <c r="D1" s="454"/>
      <c r="E1" s="454"/>
      <c r="F1" s="454"/>
      <c r="G1" s="471" t="s">
        <v>6</v>
      </c>
      <c r="H1" s="454"/>
    </row>
    <row r="2" spans="1:10" x14ac:dyDescent="0.25">
      <c r="A2" s="408"/>
      <c r="B2" s="408"/>
      <c r="C2" s="454"/>
      <c r="D2" s="454"/>
      <c r="E2" s="454"/>
      <c r="F2" s="454"/>
      <c r="G2" s="454" t="s">
        <v>7</v>
      </c>
      <c r="H2" s="454"/>
    </row>
    <row r="3" spans="1:10" ht="14.45" x14ac:dyDescent="0.3">
      <c r="A3" s="408"/>
      <c r="B3" s="408"/>
      <c r="C3" s="454"/>
      <c r="D3" s="454"/>
      <c r="E3" s="454"/>
      <c r="F3" s="454"/>
      <c r="G3" s="454"/>
      <c r="H3" s="454"/>
    </row>
    <row r="4" spans="1:10" x14ac:dyDescent="0.25">
      <c r="A4" s="671" t="s">
        <v>8</v>
      </c>
      <c r="B4" s="671"/>
      <c r="C4" s="671"/>
      <c r="D4" s="671"/>
      <c r="E4" s="671"/>
      <c r="F4" s="671"/>
      <c r="G4" s="671"/>
      <c r="H4" s="671"/>
    </row>
    <row r="5" spans="1:10" ht="24.75" customHeight="1" thickBot="1" x14ac:dyDescent="0.3">
      <c r="A5" s="410" t="s">
        <v>9</v>
      </c>
      <c r="B5" s="672" t="s">
        <v>627</v>
      </c>
      <c r="C5" s="672"/>
      <c r="D5" s="672"/>
      <c r="E5" s="672"/>
      <c r="F5" s="672"/>
      <c r="G5" s="672"/>
      <c r="H5" s="672"/>
    </row>
    <row r="6" spans="1:10" ht="33" customHeight="1" x14ac:dyDescent="0.25">
      <c r="A6" s="673" t="s">
        <v>0</v>
      </c>
      <c r="B6" s="675" t="s">
        <v>1</v>
      </c>
      <c r="C6" s="677" t="s">
        <v>657</v>
      </c>
      <c r="D6" s="677"/>
      <c r="E6" s="677"/>
      <c r="F6" s="682" t="s">
        <v>5</v>
      </c>
      <c r="G6" s="682"/>
      <c r="H6" s="683"/>
    </row>
    <row r="7" spans="1:10" ht="75" x14ac:dyDescent="0.25">
      <c r="A7" s="674"/>
      <c r="B7" s="676"/>
      <c r="C7" s="472" t="s">
        <v>658</v>
      </c>
      <c r="D7" s="472" t="s">
        <v>2</v>
      </c>
      <c r="E7" s="472" t="s">
        <v>4</v>
      </c>
      <c r="F7" s="472" t="s">
        <v>3</v>
      </c>
      <c r="G7" s="472" t="s">
        <v>2</v>
      </c>
      <c r="H7" s="455" t="s">
        <v>4</v>
      </c>
    </row>
    <row r="8" spans="1:10" ht="14.45" x14ac:dyDescent="0.3">
      <c r="A8" s="418">
        <v>1</v>
      </c>
      <c r="B8" s="416">
        <v>2</v>
      </c>
      <c r="C8" s="407">
        <v>3</v>
      </c>
      <c r="D8" s="407">
        <v>4</v>
      </c>
      <c r="E8" s="407">
        <v>5</v>
      </c>
      <c r="F8" s="407">
        <v>6</v>
      </c>
      <c r="G8" s="407">
        <v>7</v>
      </c>
      <c r="H8" s="456">
        <v>8</v>
      </c>
    </row>
    <row r="9" spans="1:10" ht="62.25" customHeight="1" x14ac:dyDescent="0.25">
      <c r="A9" s="411" t="s">
        <v>628</v>
      </c>
      <c r="B9" s="416"/>
      <c r="C9" s="407"/>
      <c r="D9" s="407"/>
      <c r="E9" s="407"/>
      <c r="F9" s="407"/>
      <c r="G9" s="407"/>
      <c r="H9" s="407"/>
      <c r="J9" s="447"/>
    </row>
    <row r="10" spans="1:10" ht="38.25" customHeight="1" x14ac:dyDescent="0.25">
      <c r="A10" s="665" t="s">
        <v>625</v>
      </c>
      <c r="B10" s="666"/>
      <c r="C10" s="436">
        <f>C11+C12</f>
        <v>540209.69999999995</v>
      </c>
      <c r="D10" s="436">
        <f t="shared" ref="D10:E10" si="0">D11+D12</f>
        <v>508005.2</v>
      </c>
      <c r="E10" s="436">
        <f t="shared" si="0"/>
        <v>508005.2</v>
      </c>
      <c r="F10" s="436">
        <f>620993.5+C10</f>
        <v>1161203.2</v>
      </c>
      <c r="G10" s="436">
        <f>573841.56+D10</f>
        <v>1081846.76</v>
      </c>
      <c r="H10" s="436">
        <f>573841.56+E10</f>
        <v>1081846.76</v>
      </c>
    </row>
    <row r="11" spans="1:10" ht="20.25" customHeight="1" x14ac:dyDescent="0.25">
      <c r="A11" s="678" t="s">
        <v>405</v>
      </c>
      <c r="B11" s="678"/>
      <c r="C11" s="457">
        <f>C14+C17+C19</f>
        <v>187105.1</v>
      </c>
      <c r="D11" s="473">
        <f t="shared" ref="D11" si="1">D14+D17+D19</f>
        <v>164710.01</v>
      </c>
      <c r="E11" s="473">
        <f>E14+E17+E19</f>
        <v>164710.01</v>
      </c>
      <c r="F11" s="457">
        <f>259822.1+C11</f>
        <v>446927.2</v>
      </c>
      <c r="G11" s="473">
        <f>238772.16+D11</f>
        <v>403482.17000000004</v>
      </c>
      <c r="H11" s="457">
        <f>238772.16+E11</f>
        <v>403482.17000000004</v>
      </c>
    </row>
    <row r="12" spans="1:10" ht="45.75" customHeight="1" x14ac:dyDescent="0.25">
      <c r="A12" s="679" t="s">
        <v>630</v>
      </c>
      <c r="B12" s="679"/>
      <c r="C12" s="474">
        <v>353104.6</v>
      </c>
      <c r="D12" s="475">
        <f t="shared" ref="D12:E12" si="2">D15</f>
        <v>343295.19</v>
      </c>
      <c r="E12" s="475">
        <f t="shared" si="2"/>
        <v>343295.19</v>
      </c>
      <c r="F12" s="475">
        <f>361171.4+C12</f>
        <v>714276</v>
      </c>
      <c r="G12" s="482">
        <f>335069.4+D12</f>
        <v>678364.59000000008</v>
      </c>
      <c r="H12" s="482">
        <f>335069.4+E12</f>
        <v>678364.59000000008</v>
      </c>
    </row>
    <row r="13" spans="1:10" ht="32.25" customHeight="1" x14ac:dyDescent="0.25">
      <c r="A13" s="680" t="s">
        <v>660</v>
      </c>
      <c r="B13" s="681"/>
      <c r="C13" s="458">
        <f>C14+C15</f>
        <v>376242.6</v>
      </c>
      <c r="D13" s="467">
        <f t="shared" ref="D13:E13" si="3">D14+D15</f>
        <v>364370.45</v>
      </c>
      <c r="E13" s="467">
        <f t="shared" si="3"/>
        <v>364370.45</v>
      </c>
      <c r="F13" s="467">
        <f>377152.3+C13</f>
        <v>753394.89999999991</v>
      </c>
      <c r="G13" s="467">
        <f>350324.57+D13</f>
        <v>714695.02</v>
      </c>
      <c r="H13" s="467">
        <f>350724.57+E13</f>
        <v>715095.02</v>
      </c>
      <c r="J13" s="447"/>
    </row>
    <row r="14" spans="1:10" ht="45" customHeight="1" x14ac:dyDescent="0.25">
      <c r="A14" s="422" t="s">
        <v>405</v>
      </c>
      <c r="B14" s="432" t="s">
        <v>638</v>
      </c>
      <c r="C14" s="476">
        <v>23138</v>
      </c>
      <c r="D14" s="433">
        <v>21075.26</v>
      </c>
      <c r="E14" s="433">
        <v>21075.26</v>
      </c>
      <c r="F14" s="433">
        <f>15980.9+C14</f>
        <v>39118.9</v>
      </c>
      <c r="G14" s="433">
        <f>15255.17+D14</f>
        <v>36330.43</v>
      </c>
      <c r="H14" s="433">
        <f>15655.17+E14</f>
        <v>36730.43</v>
      </c>
      <c r="J14"/>
    </row>
    <row r="15" spans="1:10" ht="60" customHeight="1" x14ac:dyDescent="0.25">
      <c r="A15" s="434" t="s">
        <v>630</v>
      </c>
      <c r="B15" s="435" t="s">
        <v>632</v>
      </c>
      <c r="C15" s="477">
        <v>353104.6</v>
      </c>
      <c r="D15" s="481">
        <v>343295.19</v>
      </c>
      <c r="E15" s="481">
        <v>343295.19</v>
      </c>
      <c r="F15" s="441">
        <f>361171.4+C15</f>
        <v>714276</v>
      </c>
      <c r="G15" s="441">
        <f>335069.4+D15</f>
        <v>678364.59000000008</v>
      </c>
      <c r="H15" s="441">
        <f>335069.4+E15</f>
        <v>678364.59000000008</v>
      </c>
    </row>
    <row r="16" spans="1:10" ht="33.75" customHeight="1" x14ac:dyDescent="0.25">
      <c r="A16" s="667" t="s">
        <v>629</v>
      </c>
      <c r="B16" s="668"/>
      <c r="C16" s="458">
        <f>C17</f>
        <v>155467.1</v>
      </c>
      <c r="D16" s="467">
        <f>D17</f>
        <v>138409.09</v>
      </c>
      <c r="E16" s="467">
        <f t="shared" ref="E16" si="4">E17</f>
        <v>138409.09</v>
      </c>
      <c r="F16" s="458">
        <f>218547+C16</f>
        <v>374014.1</v>
      </c>
      <c r="G16" s="458">
        <f>208567.96+D16</f>
        <v>346977.05</v>
      </c>
      <c r="H16" s="458">
        <f>208167.96+E16</f>
        <v>346577.05</v>
      </c>
      <c r="I16" s="419"/>
    </row>
    <row r="17" spans="1:9" ht="59.25" customHeight="1" x14ac:dyDescent="0.25">
      <c r="A17" s="422" t="s">
        <v>405</v>
      </c>
      <c r="B17" s="432" t="s">
        <v>639</v>
      </c>
      <c r="C17" s="478">
        <v>155467.1</v>
      </c>
      <c r="D17" s="433">
        <v>138409.09</v>
      </c>
      <c r="E17" s="433">
        <v>138409.09</v>
      </c>
      <c r="F17" s="450">
        <f>218547+C17</f>
        <v>374014.1</v>
      </c>
      <c r="G17" s="450">
        <f>208567.96+D17</f>
        <v>346977.05</v>
      </c>
      <c r="H17" s="433">
        <f>208167.96+E17</f>
        <v>346577.05</v>
      </c>
      <c r="I17" s="419"/>
    </row>
    <row r="18" spans="1:9" ht="29.25" customHeight="1" x14ac:dyDescent="0.25">
      <c r="A18" s="667" t="s">
        <v>626</v>
      </c>
      <c r="B18" s="668"/>
      <c r="C18" s="458">
        <f>C19</f>
        <v>8500</v>
      </c>
      <c r="D18" s="467">
        <f t="shared" ref="D18:E18" si="5">D19</f>
        <v>5225.66</v>
      </c>
      <c r="E18" s="467">
        <f t="shared" si="5"/>
        <v>5225.66</v>
      </c>
      <c r="F18" s="458">
        <f>25294.2+C18</f>
        <v>33794.199999999997</v>
      </c>
      <c r="G18" s="458">
        <f>14949.03+D18</f>
        <v>20174.690000000002</v>
      </c>
      <c r="H18" s="458">
        <f>14949.03+E18</f>
        <v>20174.690000000002</v>
      </c>
      <c r="I18" s="414"/>
    </row>
    <row r="19" spans="1:9" ht="36.75" customHeight="1" x14ac:dyDescent="0.25">
      <c r="A19" s="422" t="s">
        <v>405</v>
      </c>
      <c r="B19" s="432" t="s">
        <v>640</v>
      </c>
      <c r="C19" s="478">
        <v>8500</v>
      </c>
      <c r="D19" s="433">
        <v>5225.66</v>
      </c>
      <c r="E19" s="451">
        <v>5225.66</v>
      </c>
      <c r="F19" s="451">
        <f>25294.2+C19</f>
        <v>33794.199999999997</v>
      </c>
      <c r="G19" s="451">
        <f>14949.03+D19</f>
        <v>20174.690000000002</v>
      </c>
      <c r="H19" s="451">
        <f>14949.03+E19</f>
        <v>20174.690000000002</v>
      </c>
      <c r="I19" s="414"/>
    </row>
    <row r="20" spans="1:9" ht="67.5" customHeight="1" x14ac:dyDescent="0.25">
      <c r="A20" s="665" t="s">
        <v>621</v>
      </c>
      <c r="B20" s="666"/>
      <c r="C20" s="459">
        <f>C21</f>
        <v>2276.3000000000002</v>
      </c>
      <c r="D20" s="459">
        <f t="shared" ref="D20:E20" si="6">D21</f>
        <v>2264.87</v>
      </c>
      <c r="E20" s="459">
        <f t="shared" si="6"/>
        <v>2264.87</v>
      </c>
      <c r="F20" s="459">
        <f>30538+C20</f>
        <v>32814.300000000003</v>
      </c>
      <c r="G20" s="459">
        <f t="shared" ref="G20:H22" si="7">29960.92+D20</f>
        <v>32225.789999999997</v>
      </c>
      <c r="H20" s="459">
        <f t="shared" si="7"/>
        <v>32225.789999999997</v>
      </c>
      <c r="I20" s="414"/>
    </row>
    <row r="21" spans="1:9" ht="51.75" customHeight="1" x14ac:dyDescent="0.25">
      <c r="A21" s="424" t="s">
        <v>405</v>
      </c>
      <c r="B21" s="437" t="s">
        <v>642</v>
      </c>
      <c r="C21" s="460">
        <f>C22</f>
        <v>2276.3000000000002</v>
      </c>
      <c r="D21" s="460">
        <f>D22</f>
        <v>2264.87</v>
      </c>
      <c r="E21" s="460">
        <f>E22</f>
        <v>2264.87</v>
      </c>
      <c r="F21" s="460">
        <f>30538+C21</f>
        <v>32814.300000000003</v>
      </c>
      <c r="G21" s="460">
        <f t="shared" si="7"/>
        <v>32225.789999999997</v>
      </c>
      <c r="H21" s="460">
        <f t="shared" si="7"/>
        <v>32225.789999999997</v>
      </c>
    </row>
    <row r="22" spans="1:9" ht="34.5" customHeight="1" x14ac:dyDescent="0.25">
      <c r="A22" s="421" t="s">
        <v>641</v>
      </c>
      <c r="B22" s="425"/>
      <c r="C22" s="461">
        <v>2276.3000000000002</v>
      </c>
      <c r="D22" s="461">
        <v>2264.87</v>
      </c>
      <c r="E22" s="461">
        <v>2264.87</v>
      </c>
      <c r="F22" s="461">
        <f>30538+C22</f>
        <v>32814.300000000003</v>
      </c>
      <c r="G22" s="461">
        <f t="shared" si="7"/>
        <v>32225.789999999997</v>
      </c>
      <c r="H22" s="461">
        <f t="shared" si="7"/>
        <v>32225.789999999997</v>
      </c>
    </row>
    <row r="23" spans="1:9" ht="39.75" customHeight="1" x14ac:dyDescent="0.25">
      <c r="A23" s="665" t="s">
        <v>622</v>
      </c>
      <c r="B23" s="666"/>
      <c r="C23" s="462">
        <f>C24</f>
        <v>18081</v>
      </c>
      <c r="D23" s="462">
        <f t="shared" ref="D23:E23" si="8">D24</f>
        <v>18080.919999999998</v>
      </c>
      <c r="E23" s="462">
        <f t="shared" si="8"/>
        <v>18080.919999999998</v>
      </c>
      <c r="F23" s="462">
        <f>37346.4+C23</f>
        <v>55427.4</v>
      </c>
      <c r="G23" s="462">
        <f>37346.3+D23</f>
        <v>55427.22</v>
      </c>
      <c r="H23" s="462">
        <f>34989.27+E23</f>
        <v>53070.189999999995</v>
      </c>
    </row>
    <row r="24" spans="1:9" ht="51.75" customHeight="1" x14ac:dyDescent="0.25">
      <c r="A24" s="424" t="s">
        <v>405</v>
      </c>
      <c r="B24" s="438" t="s">
        <v>643</v>
      </c>
      <c r="C24" s="460">
        <f>C25</f>
        <v>18081</v>
      </c>
      <c r="D24" s="460">
        <f t="shared" ref="D24:E24" si="9">D25</f>
        <v>18080.919999999998</v>
      </c>
      <c r="E24" s="460">
        <f t="shared" si="9"/>
        <v>18080.919999999998</v>
      </c>
      <c r="F24" s="460">
        <f>37346.4+C24</f>
        <v>55427.4</v>
      </c>
      <c r="G24" s="460">
        <f>37346.3+D24</f>
        <v>55427.22</v>
      </c>
      <c r="H24" s="460">
        <f>34989.27+E24</f>
        <v>53070.189999999995</v>
      </c>
    </row>
    <row r="25" spans="1:9" ht="40.5" customHeight="1" x14ac:dyDescent="0.25">
      <c r="A25" s="415" t="s">
        <v>619</v>
      </c>
      <c r="B25" s="439" t="s">
        <v>643</v>
      </c>
      <c r="C25" s="463">
        <v>18081</v>
      </c>
      <c r="D25" s="463">
        <v>18080.919999999998</v>
      </c>
      <c r="E25" s="463">
        <v>18080.919999999998</v>
      </c>
      <c r="F25" s="463">
        <f>37346.4+C25</f>
        <v>55427.4</v>
      </c>
      <c r="G25" s="463">
        <f>37346.3+D25</f>
        <v>55427.22</v>
      </c>
      <c r="H25" s="463">
        <f>34989.27+E25</f>
        <v>53070.189999999995</v>
      </c>
    </row>
    <row r="26" spans="1:9" ht="47.25" customHeight="1" x14ac:dyDescent="0.25">
      <c r="A26" s="665" t="s">
        <v>623</v>
      </c>
      <c r="B26" s="666"/>
      <c r="C26" s="464">
        <f>C27</f>
        <v>35540.6</v>
      </c>
      <c r="D26" s="464">
        <f t="shared" ref="D26:E26" si="10">D27</f>
        <v>35540.559999999998</v>
      </c>
      <c r="E26" s="464">
        <f t="shared" si="10"/>
        <v>35540.559999999998</v>
      </c>
      <c r="F26" s="464">
        <f>79626.3+C26</f>
        <v>115166.9</v>
      </c>
      <c r="G26" s="464">
        <f>77889+D26</f>
        <v>113429.56</v>
      </c>
      <c r="H26" s="464">
        <f>74369.96+E26</f>
        <v>109910.52</v>
      </c>
      <c r="I26" s="420"/>
    </row>
    <row r="27" spans="1:9" ht="71.25" customHeight="1" x14ac:dyDescent="0.25">
      <c r="A27" s="424" t="s">
        <v>405</v>
      </c>
      <c r="B27" s="438" t="s">
        <v>644</v>
      </c>
      <c r="C27" s="460">
        <f>C28+C29</f>
        <v>35540.6</v>
      </c>
      <c r="D27" s="460">
        <f t="shared" ref="D27" si="11">D28+D29</f>
        <v>35540.559999999998</v>
      </c>
      <c r="E27" s="465">
        <f>E28+E29</f>
        <v>35540.559999999998</v>
      </c>
      <c r="F27" s="452">
        <f>79626.3+C27</f>
        <v>115166.9</v>
      </c>
      <c r="G27" s="452">
        <f>77889+D27</f>
        <v>113429.56</v>
      </c>
      <c r="H27" s="452">
        <f>74369.96+E27</f>
        <v>109910.52</v>
      </c>
    </row>
    <row r="28" spans="1:9" ht="82.5" customHeight="1" x14ac:dyDescent="0.25">
      <c r="A28" s="426" t="s">
        <v>633</v>
      </c>
      <c r="B28" s="440" t="s">
        <v>645</v>
      </c>
      <c r="C28" s="479">
        <v>18452.3</v>
      </c>
      <c r="D28" s="479">
        <v>18452.29</v>
      </c>
      <c r="E28" s="479">
        <v>18452.29</v>
      </c>
      <c r="F28" s="445"/>
      <c r="G28" s="445"/>
      <c r="H28" s="445"/>
      <c r="I28" s="420"/>
    </row>
    <row r="29" spans="1:9" ht="29.25" customHeight="1" x14ac:dyDescent="0.25">
      <c r="A29" s="310" t="s">
        <v>618</v>
      </c>
      <c r="B29" s="449" t="s">
        <v>655</v>
      </c>
      <c r="C29" s="479">
        <v>17088.3</v>
      </c>
      <c r="D29" s="479">
        <v>17088.27</v>
      </c>
      <c r="E29" s="479">
        <v>17088.27</v>
      </c>
      <c r="F29" s="445"/>
      <c r="G29" s="445"/>
      <c r="H29" s="445"/>
      <c r="I29" s="420"/>
    </row>
    <row r="30" spans="1:9" ht="34.5" customHeight="1" x14ac:dyDescent="0.25">
      <c r="A30" s="665" t="s">
        <v>624</v>
      </c>
      <c r="B30" s="666"/>
      <c r="C30" s="436">
        <f>C31+C32</f>
        <v>286771.90000000002</v>
      </c>
      <c r="D30" s="436">
        <f t="shared" ref="D30" si="12">D31+D32</f>
        <v>268349.47000000003</v>
      </c>
      <c r="E30" s="436">
        <f t="shared" ref="E30" si="13">E31+E32</f>
        <v>268349.47000000003</v>
      </c>
      <c r="F30" s="436">
        <f>543999.4+C30</f>
        <v>830771.3</v>
      </c>
      <c r="G30" s="436">
        <f>503874.95+D30</f>
        <v>772224.42</v>
      </c>
      <c r="H30" s="436">
        <f>478931.96+E30</f>
        <v>747281.43</v>
      </c>
    </row>
    <row r="31" spans="1:9" ht="61.5" customHeight="1" x14ac:dyDescent="0.25">
      <c r="A31" s="422" t="s">
        <v>405</v>
      </c>
      <c r="B31" s="423"/>
      <c r="C31" s="465">
        <f>C34+C37+C39+C41</f>
        <v>131278</v>
      </c>
      <c r="D31" s="465">
        <f t="shared" ref="D31" si="14">D34+D37+D39+D41</f>
        <v>131251.65000000002</v>
      </c>
      <c r="E31" s="465">
        <f>E34+E37+E39+E41</f>
        <v>131251.65000000002</v>
      </c>
      <c r="F31" s="465">
        <f>242463.3+C31</f>
        <v>373741.3</v>
      </c>
      <c r="G31" s="465">
        <f>235266.34+D31</f>
        <v>366517.99</v>
      </c>
      <c r="H31" s="465">
        <f>217273.62+E31</f>
        <v>348525.27</v>
      </c>
    </row>
    <row r="32" spans="1:9" ht="60" customHeight="1" x14ac:dyDescent="0.25">
      <c r="A32" s="434" t="s">
        <v>630</v>
      </c>
      <c r="B32" s="442"/>
      <c r="C32" s="466">
        <f>C35</f>
        <v>155493.9</v>
      </c>
      <c r="D32" s="466">
        <f>D35</f>
        <v>137097.82</v>
      </c>
      <c r="E32" s="466">
        <f>E35</f>
        <v>137097.82</v>
      </c>
      <c r="F32" s="466">
        <f>301536.1+C32</f>
        <v>457030</v>
      </c>
      <c r="G32" s="466">
        <f>268608.61+D32</f>
        <v>405706.43</v>
      </c>
      <c r="H32" s="466">
        <f>261658.34+E32</f>
        <v>398756.16000000003</v>
      </c>
    </row>
    <row r="33" spans="1:8" ht="21.75" customHeight="1" x14ac:dyDescent="0.25">
      <c r="A33" s="667" t="s">
        <v>649</v>
      </c>
      <c r="B33" s="668"/>
      <c r="C33" s="467">
        <f>C34+C35</f>
        <v>179237.69999999998</v>
      </c>
      <c r="D33" s="467">
        <f t="shared" ref="D33" si="15">D34+D35</f>
        <v>160841.45000000001</v>
      </c>
      <c r="E33" s="467">
        <f t="shared" ref="E33" si="16">E34+E35</f>
        <v>160841.45000000001</v>
      </c>
      <c r="F33" s="467">
        <f>455618.2+C33</f>
        <v>634855.9</v>
      </c>
      <c r="G33" s="467">
        <f>416362.25+D33</f>
        <v>577203.69999999995</v>
      </c>
      <c r="H33" s="467">
        <f>395331.86+E33</f>
        <v>556173.31000000006</v>
      </c>
    </row>
    <row r="34" spans="1:8" ht="61.5" customHeight="1" x14ac:dyDescent="0.25">
      <c r="A34" s="422" t="s">
        <v>405</v>
      </c>
      <c r="B34" s="432" t="s">
        <v>656</v>
      </c>
      <c r="C34" s="433">
        <v>23743.8</v>
      </c>
      <c r="D34" s="433">
        <v>23743.63</v>
      </c>
      <c r="E34" s="433">
        <v>23743.63</v>
      </c>
      <c r="F34" s="433">
        <f>154082.1+C34</f>
        <v>177825.9</v>
      </c>
      <c r="G34" s="433">
        <f>147753.64+D34</f>
        <v>171497.27000000002</v>
      </c>
      <c r="H34" s="433">
        <f>133673.52+E34</f>
        <v>157417.15</v>
      </c>
    </row>
    <row r="35" spans="1:8" ht="72" customHeight="1" x14ac:dyDescent="0.25">
      <c r="A35" s="434" t="s">
        <v>630</v>
      </c>
      <c r="B35" s="435" t="s">
        <v>631</v>
      </c>
      <c r="C35" s="441">
        <v>155493.9</v>
      </c>
      <c r="D35" s="480">
        <v>137097.82</v>
      </c>
      <c r="E35" s="480">
        <v>137097.82</v>
      </c>
      <c r="F35" s="441">
        <f>301536.1+C35</f>
        <v>457030</v>
      </c>
      <c r="G35" s="441">
        <f>268608.61+D35</f>
        <v>405706.43</v>
      </c>
      <c r="H35" s="441">
        <f>261658.34+E35</f>
        <v>398756.16000000003</v>
      </c>
    </row>
    <row r="36" spans="1:8" ht="22.5" customHeight="1" x14ac:dyDescent="0.25">
      <c r="A36" s="669" t="s">
        <v>620</v>
      </c>
      <c r="B36" s="670"/>
      <c r="C36" s="467">
        <v>66087.7</v>
      </c>
      <c r="D36" s="467">
        <f t="shared" ref="D36:E36" si="17">D37</f>
        <v>66087.66</v>
      </c>
      <c r="E36" s="467">
        <f t="shared" si="17"/>
        <v>66087.66</v>
      </c>
      <c r="F36" s="467">
        <f>52138.3+C36</f>
        <v>118226</v>
      </c>
      <c r="G36" s="467">
        <f>52138.3+D36</f>
        <v>118225.96</v>
      </c>
      <c r="H36" s="467">
        <f>51525+E36</f>
        <v>117612.66</v>
      </c>
    </row>
    <row r="37" spans="1:8" ht="44.25" customHeight="1" x14ac:dyDescent="0.25">
      <c r="A37" s="422" t="s">
        <v>405</v>
      </c>
      <c r="B37" s="432" t="s">
        <v>635</v>
      </c>
      <c r="C37" s="433">
        <v>66087.7</v>
      </c>
      <c r="D37" s="433">
        <v>66087.66</v>
      </c>
      <c r="E37" s="433">
        <v>66087.66</v>
      </c>
      <c r="F37" s="433">
        <f>52138.3+C37</f>
        <v>118226</v>
      </c>
      <c r="G37" s="433">
        <f>52138.3+D37</f>
        <v>118225.96</v>
      </c>
      <c r="H37" s="433">
        <f>51525+E37</f>
        <v>117612.66</v>
      </c>
    </row>
    <row r="38" spans="1:8" ht="48" customHeight="1" x14ac:dyDescent="0.25">
      <c r="A38" s="661" t="s">
        <v>648</v>
      </c>
      <c r="B38" s="662"/>
      <c r="C38" s="467">
        <f>C39</f>
        <v>3267.6</v>
      </c>
      <c r="D38" s="467">
        <f t="shared" ref="D38:E38" si="18">D39</f>
        <v>3267.22</v>
      </c>
      <c r="E38" s="467">
        <f t="shared" si="18"/>
        <v>3267.22</v>
      </c>
      <c r="F38" s="467">
        <f>6861.7+C38</f>
        <v>10129.299999999999</v>
      </c>
      <c r="G38" s="467">
        <f>6459.3+D38</f>
        <v>9726.52</v>
      </c>
      <c r="H38" s="467">
        <f>6229.1+E38</f>
        <v>9496.32</v>
      </c>
    </row>
    <row r="39" spans="1:8" ht="49.5" customHeight="1" x14ac:dyDescent="0.25">
      <c r="A39" s="422" t="s">
        <v>405</v>
      </c>
      <c r="B39" s="448" t="s">
        <v>646</v>
      </c>
      <c r="C39" s="433">
        <v>3267.6</v>
      </c>
      <c r="D39" s="433">
        <v>3267.22</v>
      </c>
      <c r="E39" s="433">
        <v>3267.22</v>
      </c>
      <c r="F39" s="433">
        <f>6861.7+C39</f>
        <v>10129.299999999999</v>
      </c>
      <c r="G39" s="433">
        <f>6459.3+D39</f>
        <v>9726.52</v>
      </c>
      <c r="H39" s="433">
        <f>6229.1+E39</f>
        <v>9496.32</v>
      </c>
    </row>
    <row r="40" spans="1:8" ht="48.75" customHeight="1" x14ac:dyDescent="0.25">
      <c r="A40" s="661" t="s">
        <v>634</v>
      </c>
      <c r="B40" s="662"/>
      <c r="C40" s="467">
        <f>C41</f>
        <v>38178.9</v>
      </c>
      <c r="D40" s="467">
        <f t="shared" ref="D40:E40" si="19">D41</f>
        <v>38153.14</v>
      </c>
      <c r="E40" s="467">
        <f t="shared" si="19"/>
        <v>38153.14</v>
      </c>
      <c r="F40" s="467">
        <f>29381.2+C40</f>
        <v>67560.100000000006</v>
      </c>
      <c r="G40" s="467">
        <f>28915.1+D40</f>
        <v>67068.239999999991</v>
      </c>
      <c r="H40" s="467">
        <f>25846+E40</f>
        <v>63999.14</v>
      </c>
    </row>
    <row r="41" spans="1:8" ht="112.5" customHeight="1" x14ac:dyDescent="0.25">
      <c r="A41" s="422" t="s">
        <v>405</v>
      </c>
      <c r="B41" s="432" t="s">
        <v>650</v>
      </c>
      <c r="C41" s="433">
        <v>38178.9</v>
      </c>
      <c r="D41" s="433">
        <v>38153.14</v>
      </c>
      <c r="E41" s="433">
        <v>38153.14</v>
      </c>
      <c r="F41" s="433">
        <f>29381.2+C41</f>
        <v>67560.100000000006</v>
      </c>
      <c r="G41" s="433">
        <f>28915.1+D41</f>
        <v>67068.239999999991</v>
      </c>
      <c r="H41" s="433">
        <f>25846+E41</f>
        <v>63999.14</v>
      </c>
    </row>
    <row r="42" spans="1:8" ht="17.25" customHeight="1" x14ac:dyDescent="0.25">
      <c r="A42" s="429" t="s">
        <v>555</v>
      </c>
      <c r="B42" s="430"/>
      <c r="C42" s="446">
        <f t="shared" ref="C42:E42" si="20">C43+C44</f>
        <v>882879.5</v>
      </c>
      <c r="D42" s="446">
        <f>D43+D44</f>
        <v>832241.02</v>
      </c>
      <c r="E42" s="446">
        <f t="shared" si="20"/>
        <v>832241.02</v>
      </c>
      <c r="F42" s="446">
        <f>1312503.6+C42</f>
        <v>2195383.1</v>
      </c>
      <c r="G42" s="446">
        <f>1222912.73+D42</f>
        <v>2055153.75</v>
      </c>
      <c r="H42" s="446">
        <f>1192093.67+E42</f>
        <v>2024334.69</v>
      </c>
    </row>
    <row r="43" spans="1:8" ht="18" customHeight="1" x14ac:dyDescent="0.25">
      <c r="A43" s="428" t="s">
        <v>614</v>
      </c>
      <c r="B43" s="427"/>
      <c r="C43" s="470">
        <f>C11+C21+C24+C27+C31</f>
        <v>374281</v>
      </c>
      <c r="D43" s="470">
        <f>D11+D21+D24+D27+D31</f>
        <v>351848.01</v>
      </c>
      <c r="E43" s="470">
        <f t="shared" ref="E43" si="21">E11+E21+E24+E27+E31</f>
        <v>351848.01</v>
      </c>
      <c r="F43" s="470">
        <f>649796.1+C43</f>
        <v>1024077.1</v>
      </c>
      <c r="G43" s="470">
        <f>619234.72+D43</f>
        <v>971082.73</v>
      </c>
      <c r="H43" s="470">
        <f>595365.93+E43</f>
        <v>947213.94000000006</v>
      </c>
    </row>
    <row r="44" spans="1:8" x14ac:dyDescent="0.25">
      <c r="A44" s="443" t="s">
        <v>615</v>
      </c>
      <c r="B44" s="444"/>
      <c r="C44" s="468">
        <f t="shared" ref="C44:E44" si="22">C12+C32</f>
        <v>508598.5</v>
      </c>
      <c r="D44" s="468">
        <f t="shared" si="22"/>
        <v>480393.01</v>
      </c>
      <c r="E44" s="468">
        <f t="shared" si="22"/>
        <v>480393.01</v>
      </c>
      <c r="F44" s="468">
        <f>662707.5+C44</f>
        <v>1171306</v>
      </c>
      <c r="G44" s="468">
        <f>603678.01+D44</f>
        <v>1084071.02</v>
      </c>
      <c r="H44" s="468">
        <f>596727.74+E44</f>
        <v>1077120.75</v>
      </c>
    </row>
    <row r="45" spans="1:8" x14ac:dyDescent="0.25">
      <c r="A45" s="409" t="s">
        <v>570</v>
      </c>
      <c r="B45" s="416"/>
      <c r="C45" s="407"/>
      <c r="D45" s="407"/>
      <c r="E45" s="407"/>
      <c r="F45" s="453"/>
      <c r="G45" s="407"/>
      <c r="H45" s="407"/>
    </row>
    <row r="46" spans="1:8" x14ac:dyDescent="0.25">
      <c r="A46" s="431" t="s">
        <v>636</v>
      </c>
      <c r="B46" s="416"/>
      <c r="C46" s="407"/>
      <c r="D46" s="407"/>
      <c r="E46" s="407">
        <f>C42-E42</f>
        <v>50638.479999999981</v>
      </c>
      <c r="F46" s="407"/>
      <c r="G46" s="407"/>
      <c r="H46" s="407"/>
    </row>
    <row r="47" spans="1:8" ht="18" customHeight="1" x14ac:dyDescent="0.25">
      <c r="A47" s="431" t="s">
        <v>637</v>
      </c>
      <c r="B47" s="416"/>
      <c r="C47" s="407"/>
      <c r="D47" s="407"/>
      <c r="E47" s="407"/>
      <c r="F47" s="407"/>
      <c r="G47" s="407"/>
      <c r="H47" s="407"/>
    </row>
    <row r="48" spans="1:8" ht="47.25" customHeight="1" x14ac:dyDescent="0.25">
      <c r="A48" s="663" t="s">
        <v>647</v>
      </c>
      <c r="B48" s="664"/>
      <c r="C48" s="407"/>
      <c r="D48" s="407"/>
      <c r="E48" s="407">
        <f>(C10-E10)+(C20-E20)</f>
        <v>32215.929999999942</v>
      </c>
      <c r="F48" s="407"/>
      <c r="G48" s="407"/>
      <c r="H48" s="407"/>
    </row>
    <row r="49" spans="1:8" ht="194.25" customHeight="1" x14ac:dyDescent="0.25">
      <c r="A49" s="417" t="s">
        <v>654</v>
      </c>
      <c r="B49" s="416"/>
      <c r="C49" s="407"/>
      <c r="D49" s="407"/>
      <c r="E49" s="407">
        <f>(C23-E23)+(C26-E26)+(C30-E30)</f>
        <v>18422.549999999996</v>
      </c>
      <c r="F49" s="407"/>
      <c r="G49" s="407"/>
      <c r="H49" s="407"/>
    </row>
    <row r="50" spans="1:8" ht="21" customHeight="1" x14ac:dyDescent="0.25">
      <c r="A50" s="413"/>
      <c r="B50" s="410"/>
      <c r="C50" s="412"/>
      <c r="D50" s="412"/>
      <c r="E50" s="412"/>
      <c r="F50" s="412"/>
      <c r="G50" s="412"/>
      <c r="H50" s="412"/>
    </row>
    <row r="51" spans="1:8" x14ac:dyDescent="0.25">
      <c r="A51" s="381" t="s">
        <v>602</v>
      </c>
      <c r="B51" s="381" t="s">
        <v>651</v>
      </c>
      <c r="C51" s="469"/>
      <c r="D51" s="469"/>
      <c r="E51" s="469"/>
      <c r="F51" s="469"/>
      <c r="G51" s="469"/>
      <c r="H51" s="469"/>
    </row>
    <row r="52" spans="1:8" x14ac:dyDescent="0.25">
      <c r="A52" s="381"/>
      <c r="B52" s="381"/>
      <c r="C52" s="469"/>
      <c r="D52" s="469"/>
      <c r="E52" s="469"/>
      <c r="F52" s="469"/>
      <c r="G52" s="469"/>
      <c r="H52" s="469"/>
    </row>
    <row r="53" spans="1:8" x14ac:dyDescent="0.25">
      <c r="A53" s="381" t="s">
        <v>603</v>
      </c>
      <c r="B53" s="381" t="s">
        <v>659</v>
      </c>
      <c r="C53" s="469"/>
      <c r="D53" s="469"/>
      <c r="E53" s="469"/>
      <c r="F53" s="469"/>
      <c r="G53" s="469"/>
      <c r="H53" s="469"/>
    </row>
    <row r="54" spans="1:8" ht="29.25" customHeight="1" x14ac:dyDescent="0.25">
      <c r="A54" s="381"/>
      <c r="B54" s="381"/>
      <c r="C54" s="469"/>
      <c r="D54" s="469"/>
      <c r="E54" s="469"/>
      <c r="F54" s="469"/>
      <c r="G54" s="469"/>
      <c r="H54" s="469"/>
    </row>
    <row r="55" spans="1:8" x14ac:dyDescent="0.25">
      <c r="A55" s="381" t="s">
        <v>652</v>
      </c>
      <c r="B55" t="s">
        <v>653</v>
      </c>
    </row>
  </sheetData>
  <mergeCells count="21">
    <mergeCell ref="A13:B13"/>
    <mergeCell ref="A30:B30"/>
    <mergeCell ref="A33:B33"/>
    <mergeCell ref="A20:B20"/>
    <mergeCell ref="A18:B18"/>
    <mergeCell ref="A48:B48"/>
    <mergeCell ref="A4:H4"/>
    <mergeCell ref="B5:H5"/>
    <mergeCell ref="A6:A7"/>
    <mergeCell ref="B6:B7"/>
    <mergeCell ref="C6:E6"/>
    <mergeCell ref="F6:H6"/>
    <mergeCell ref="A16:B16"/>
    <mergeCell ref="A40:B40"/>
    <mergeCell ref="A10:B10"/>
    <mergeCell ref="A11:B11"/>
    <mergeCell ref="A12:B12"/>
    <mergeCell ref="A23:B23"/>
    <mergeCell ref="A26:B26"/>
    <mergeCell ref="A36:B36"/>
    <mergeCell ref="A38:B38"/>
  </mergeCells>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Благоустр. накопит</vt:lpstr>
      <vt:lpstr> ОДХ накопит</vt:lpstr>
      <vt:lpstr>МКД накоп</vt:lpstr>
      <vt:lpstr>БДД по программе</vt:lpstr>
      <vt:lpstr>Меропр.накопит</vt:lpstr>
      <vt:lpstr>форма 7 благоустройство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titova</dc:creator>
  <cp:lastModifiedBy>Татьяна</cp:lastModifiedBy>
  <cp:lastPrinted>2024-03-28T09:11:07Z</cp:lastPrinted>
  <dcterms:created xsi:type="dcterms:W3CDTF">2014-12-08T15:56:16Z</dcterms:created>
  <dcterms:modified xsi:type="dcterms:W3CDTF">2024-04-25T08:06:25Z</dcterms:modified>
</cp:coreProperties>
</file>